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730" windowHeight="11760" activeTab="3"/>
  </bookViews>
  <sheets>
    <sheet name="1ULB" sheetId="1" r:id="rId1"/>
    <sheet name="2 ULB" sheetId="2" r:id="rId2"/>
    <sheet name="1 RLB" sheetId="3" r:id="rId3"/>
    <sheet name="Annexure I" sheetId="4" r:id="rId4"/>
    <sheet name="Annexure II" sheetId="5" r:id="rId5"/>
    <sheet name="Annexure III" sheetId="6" r:id="rId6"/>
    <sheet name="Annexure IV" sheetId="7" r:id="rId7"/>
    <sheet name="Annexure V" sheetId="8" r:id="rId8"/>
    <sheet name="1A" sheetId="9" r:id="rId9"/>
    <sheet name="2A" sheetId="10" r:id="rId10"/>
    <sheet name="2B" sheetId="11" r:id="rId11"/>
    <sheet name="2C" sheetId="12" r:id="rId12"/>
    <sheet name="2D" sheetId="13" r:id="rId13"/>
    <sheet name="2E" sheetId="14" r:id="rId14"/>
    <sheet name="2F" sheetId="15" r:id="rId15"/>
    <sheet name="3A" sheetId="16" r:id="rId16"/>
    <sheet name="3B" sheetId="17" r:id="rId17"/>
    <sheet name="4A" sheetId="18" r:id="rId18"/>
    <sheet name="4B" sheetId="19" r:id="rId19"/>
    <sheet name="4C" sheetId="20" r:id="rId20"/>
    <sheet name="5A" sheetId="21" r:id="rId21"/>
    <sheet name="5B" sheetId="22" r:id="rId22"/>
    <sheet name="6A" sheetId="23" r:id="rId23"/>
    <sheet name="6B" sheetId="24" r:id="rId24"/>
    <sheet name="7A" sheetId="25" r:id="rId25"/>
    <sheet name="7B" sheetId="26" r:id="rId26"/>
  </sheets>
  <definedNames>
    <definedName name="_xlnm.Print_Area" localSheetId="20">'5A'!$A$1:$R$71</definedName>
  </definedNames>
  <calcPr fullCalcOnLoad="1"/>
</workbook>
</file>

<file path=xl/sharedStrings.xml><?xml version="1.0" encoding="utf-8"?>
<sst xmlns="http://schemas.openxmlformats.org/spreadsheetml/2006/main" count="1867" uniqueCount="693">
  <si>
    <t>Status of Accounts of ULBs</t>
  </si>
  <si>
    <t>Status of Accounts of PRIs</t>
  </si>
  <si>
    <t>Total</t>
  </si>
  <si>
    <t>Autonomous District Councils</t>
  </si>
  <si>
    <t>iv</t>
  </si>
  <si>
    <t>Village Panchayats</t>
  </si>
  <si>
    <t>iii</t>
  </si>
  <si>
    <t>Block Panchayats</t>
  </si>
  <si>
    <t>ii</t>
  </si>
  <si>
    <t>District Panchayats</t>
  </si>
  <si>
    <t>i</t>
  </si>
  <si>
    <t>Others if any (pls specify)</t>
  </si>
  <si>
    <t>C</t>
  </si>
  <si>
    <t>Grants-in-aid</t>
  </si>
  <si>
    <t>B</t>
  </si>
  <si>
    <t>SFC Devolution</t>
  </si>
  <si>
    <t>A</t>
  </si>
  <si>
    <t>PRIs</t>
  </si>
  <si>
    <t>II</t>
  </si>
  <si>
    <t>Town Panchayats</t>
  </si>
  <si>
    <t>Municipalities</t>
  </si>
  <si>
    <t>Municipal Corporations</t>
  </si>
  <si>
    <t>Urban Local Bodies</t>
  </si>
  <si>
    <t>I</t>
  </si>
  <si>
    <t>2024-25</t>
  </si>
  <si>
    <t>2023-24</t>
  </si>
  <si>
    <t>2022-23</t>
  </si>
  <si>
    <t>2021-22</t>
  </si>
  <si>
    <t>2020-21</t>
  </si>
  <si>
    <t>2019-20</t>
  </si>
  <si>
    <t>2018-19</t>
  </si>
  <si>
    <t>2017-18</t>
  </si>
  <si>
    <t>2016-17</t>
  </si>
  <si>
    <t>2015-16</t>
  </si>
  <si>
    <t>2014-15</t>
  </si>
  <si>
    <t>2013-14</t>
  </si>
  <si>
    <t>2012-13</t>
  </si>
  <si>
    <t>Particulars</t>
  </si>
  <si>
    <t>SN</t>
  </si>
  <si>
    <t>Transfer of resources to PRIs/ULBs set out by the State Finance Commission</t>
  </si>
  <si>
    <t>Gyalshing</t>
  </si>
  <si>
    <t>Jorethang Nayabazaar</t>
  </si>
  <si>
    <t>Namchi</t>
  </si>
  <si>
    <t>Mangan</t>
  </si>
  <si>
    <t>Rangpo</t>
  </si>
  <si>
    <t>Sintam</t>
  </si>
  <si>
    <t>Gangtok</t>
  </si>
  <si>
    <t>Area(Sqkm)</t>
  </si>
  <si>
    <t>Municipality</t>
  </si>
  <si>
    <t>Sl.No.</t>
  </si>
  <si>
    <t>Average area covered by PRIs and ULBs at each level as on 1.4.2011 
(as per Census 2011). Please append in extra sheets (in excel sheet) area figures of all PRIs and ULBs from which the average is obtained.</t>
  </si>
  <si>
    <t>Population</t>
  </si>
  <si>
    <t>Average population covered by PRIs and ULBs at each level as on 1.4.2011  
(as per Census 2011). Please append in extra sheets (in excel sheet) population figures of all PRIs and ULBs from which the average is obtained.</t>
  </si>
  <si>
    <t>Date of Last PRI Election; Last ULB Election: 15/10/2015</t>
  </si>
  <si>
    <t>c. TOWN PANCHAYATS: 1. SINGTAM NAGAR PANCHAYAT 2. RANGPO NAGAR PANCHAYAT 3. MANGAN NAGAR PANCHAYAT</t>
  </si>
  <si>
    <t>b. MUNICIPALITIES: 1. NAMCHI MUNICIPAL COULCIL 2. NAYABAZAAR JORETHANG MUNICIPAL COUNCIL 3. GYALSHING MUNICIPAL COUNCIL</t>
  </si>
  <si>
    <t>a. CORPORATION: GANGTOK MUNICIPAL CORPORATION</t>
  </si>
  <si>
    <t>Number of Local Bodies at each tier of  Panchayati Raj Institutions (PRIs) and  each level of Urban Local Bodies (ULBs) in the States (as on 1.4.2018)</t>
  </si>
  <si>
    <t>INFORMATION ON LOCAL BODIES</t>
  </si>
  <si>
    <t>NAME OF THE STATE: SIKKIM</t>
  </si>
  <si>
    <t>FIFTEENTH FINANCE COMMISSION</t>
  </si>
  <si>
    <t>Grand Total</t>
  </si>
  <si>
    <t>Village Panchayats ( NRDWP)</t>
  </si>
  <si>
    <t>iii©</t>
  </si>
  <si>
    <t>Village Panchayats ( MGNREGA)</t>
  </si>
  <si>
    <t>iii(b)</t>
  </si>
  <si>
    <t>Village Panchayats ( 13th/14th FC)</t>
  </si>
  <si>
    <t>iii(a)</t>
  </si>
  <si>
    <t>District Panchayats ( 13th FC)</t>
  </si>
  <si>
    <t>1(c)</t>
  </si>
  <si>
    <t>District Panchayats ( NRDWP)</t>
  </si>
  <si>
    <t>1(b)</t>
  </si>
  <si>
    <t>District Panchayats ( BRGF)</t>
  </si>
  <si>
    <t>I (a)</t>
  </si>
  <si>
    <t>D</t>
  </si>
  <si>
    <t>Assigned Revenue</t>
  </si>
  <si>
    <t>2011-12</t>
  </si>
  <si>
    <t>2010-11</t>
  </si>
  <si>
    <t>Transfer of resources to PRIs set out by the State Finance Commission                        ( in lakhs)</t>
  </si>
  <si>
    <t>Gram Panchayat:  879.57 hectar</t>
  </si>
  <si>
    <t xml:space="preserve">Zilla Panchayat - 40680.25  hectar     </t>
  </si>
  <si>
    <t>3(B)</t>
  </si>
  <si>
    <t>Annexure Enclosed I to V</t>
  </si>
  <si>
    <t>Gram Panchayat: 2419</t>
  </si>
  <si>
    <t xml:space="preserve">Zilla Panchayat - 120122         </t>
  </si>
  <si>
    <t>3 (A)</t>
  </si>
  <si>
    <r>
      <t xml:space="preserve">Date of Last PRI Election; </t>
    </r>
    <r>
      <rPr>
        <b/>
        <sz val="12"/>
        <rFont val="Arial"/>
        <family val="2"/>
      </rPr>
      <t>3rd November 2017</t>
    </r>
  </si>
  <si>
    <t xml:space="preserve">Gram Panchayat     : 185 </t>
  </si>
  <si>
    <t xml:space="preserve">Zilla Panchayat - 04;            </t>
  </si>
  <si>
    <t>Total Population</t>
  </si>
  <si>
    <t>West Pendam</t>
  </si>
  <si>
    <t>Tumin</t>
  </si>
  <si>
    <t>Taza</t>
  </si>
  <si>
    <t>Tarpin</t>
  </si>
  <si>
    <t>Sumin Lingzey</t>
  </si>
  <si>
    <t>Sudunglakha</t>
  </si>
  <si>
    <t>Sirwani</t>
  </si>
  <si>
    <t>Simik Lingzey</t>
  </si>
  <si>
    <t>Samlik Marchak</t>
  </si>
  <si>
    <t>Samdong Kambal</t>
  </si>
  <si>
    <t>Rongli Chengeylakha</t>
  </si>
  <si>
    <t>Rongay Tathangchen</t>
  </si>
  <si>
    <t>Rolep Lamaten</t>
  </si>
  <si>
    <t>Riwa Machong</t>
  </si>
  <si>
    <t>Rhenock</t>
  </si>
  <si>
    <t>Rey Mendu</t>
  </si>
  <si>
    <t>Regoh</t>
  </si>
  <si>
    <t>Rawtey Rumtek</t>
  </si>
  <si>
    <t>Ranka</t>
  </si>
  <si>
    <t>Rakdong Tintek</t>
  </si>
  <si>
    <t>Premlakha Subaneydara</t>
  </si>
  <si>
    <t>Patuk Singbel</t>
  </si>
  <si>
    <t>Pakyong Yaakten</t>
  </si>
  <si>
    <t>Pachey Samsing</t>
  </si>
  <si>
    <t>Nandok Saramsa</t>
  </si>
  <si>
    <t>Namli</t>
  </si>
  <si>
    <t>Namcheybong</t>
  </si>
  <si>
    <t>Martam Nazitam</t>
  </si>
  <si>
    <t>Luing Perbing</t>
  </si>
  <si>
    <t>Linkey Parakha</t>
  </si>
  <si>
    <t>Lingtam Phadamchen</t>
  </si>
  <si>
    <t>Latuk Barapathing</t>
  </si>
  <si>
    <t>Kyongnosla</t>
  </si>
  <si>
    <t>Kopibari Syari</t>
  </si>
  <si>
    <t>Khamdong</t>
  </si>
  <si>
    <t>Gnathang</t>
  </si>
  <si>
    <t>East Pendam</t>
  </si>
  <si>
    <t>Dung Dung Thasa</t>
  </si>
  <si>
    <t>Dalapchen</t>
  </si>
  <si>
    <t>Chujachen</t>
  </si>
  <si>
    <t>Chisopani</t>
  </si>
  <si>
    <t>Chalamthang Pacheykhani</t>
  </si>
  <si>
    <t>Central Pendam</t>
  </si>
  <si>
    <t>Budang Kamerey</t>
  </si>
  <si>
    <t>Bhusuk Naitam</t>
  </si>
  <si>
    <t>Bering Tareythang</t>
  </si>
  <si>
    <t>Beng-Phegyong</t>
  </si>
  <si>
    <t>Assam Lingzey</t>
  </si>
  <si>
    <t>Aritar</t>
  </si>
  <si>
    <t>Amba</t>
  </si>
  <si>
    <t>Aho Yangtam</t>
  </si>
  <si>
    <t>GPU</t>
  </si>
  <si>
    <t>Sl No</t>
  </si>
  <si>
    <t>ANNEXURE-1</t>
  </si>
  <si>
    <t>EAST DISTRICT</t>
  </si>
  <si>
    <t>Toong Naga</t>
  </si>
  <si>
    <t>Tingvong</t>
  </si>
  <si>
    <t>Tingchim Chadey</t>
  </si>
  <si>
    <t>Singhik</t>
  </si>
  <si>
    <t>Ship Gyer</t>
  </si>
  <si>
    <t>Rongong Tumlong</t>
  </si>
  <si>
    <t>Ringhim Nampatam</t>
  </si>
  <si>
    <t>Ramthang Tangyek</t>
  </si>
  <si>
    <t>Phensong</t>
  </si>
  <si>
    <t>Passindang Saffo</t>
  </si>
  <si>
    <t>Navay Shotak</t>
  </si>
  <si>
    <t>Namok Sheyam</t>
  </si>
  <si>
    <t>Men Rongong</t>
  </si>
  <si>
    <t>Mangshila-Tibuk</t>
  </si>
  <si>
    <t>Lingthem Lingdem</t>
  </si>
  <si>
    <t>Lingdok Nampong</t>
  </si>
  <si>
    <t>Lingchom Tingda</t>
  </si>
  <si>
    <t>Kabi</t>
  </si>
  <si>
    <t>Chungthang</t>
  </si>
  <si>
    <t xml:space="preserve"> Sakyong Pentong</t>
  </si>
  <si>
    <t xml:space="preserve"> Lum- Gor-Sangtok</t>
  </si>
  <si>
    <t xml:space="preserve"> Lachung</t>
  </si>
  <si>
    <t xml:space="preserve"> Lachen</t>
  </si>
  <si>
    <t xml:space="preserve"> Hee Gyathang</t>
  </si>
  <si>
    <t xml:space="preserve"> Barfok Lingdong</t>
  </si>
  <si>
    <t>Sl no</t>
  </si>
  <si>
    <t>ANNEXURE-II</t>
  </si>
  <si>
    <t>NORTH DISTRICT</t>
  </si>
  <si>
    <t>Yangang-Rangang</t>
  </si>
  <si>
    <t>Wak Omchu</t>
  </si>
  <si>
    <t>Turung Mamring</t>
  </si>
  <si>
    <t>Turuk Ramabung</t>
  </si>
  <si>
    <t>Tinkitam Rayong</t>
  </si>
  <si>
    <t>Tinik Chisopani</t>
  </si>
  <si>
    <t>Tingrithang</t>
  </si>
  <si>
    <t>Temi</t>
  </si>
  <si>
    <t>Tarku</t>
  </si>
  <si>
    <t>Tanzi Bikmat</t>
  </si>
  <si>
    <t>Sumbuk Kartikey</t>
  </si>
  <si>
    <t>Sripatam-Gagyong</t>
  </si>
  <si>
    <t>Sorok Shyampani</t>
  </si>
  <si>
    <t>Sanganath</t>
  </si>
  <si>
    <t>Salghari</t>
  </si>
  <si>
    <t>Sadam Suntoley</t>
  </si>
  <si>
    <t>Rong Bul</t>
  </si>
  <si>
    <t>Ravang-Sangmo</t>
  </si>
  <si>
    <t>Rateypani</t>
  </si>
  <si>
    <t>Rameng-Nizrameng</t>
  </si>
  <si>
    <t>Ralong-Namlung</t>
  </si>
  <si>
    <t>Poklok Denchung</t>
  </si>
  <si>
    <t>Perbing Dovan</t>
  </si>
  <si>
    <t>Paiyong</t>
  </si>
  <si>
    <t>Niya-Mangzing</t>
  </si>
  <si>
    <t>Namthang Maneydara</t>
  </si>
  <si>
    <t>Namphing</t>
  </si>
  <si>
    <t>Nagi Karek</t>
  </si>
  <si>
    <t>Mikkhola Singithang</t>
  </si>
  <si>
    <t>Mellidara Paiyong</t>
  </si>
  <si>
    <t>Maniram Phalidara</t>
  </si>
  <si>
    <t>Mamley Kamrang</t>
  </si>
  <si>
    <t>Lungchok Kamarey</t>
  </si>
  <si>
    <t>Lingi</t>
  </si>
  <si>
    <t>Legship</t>
  </si>
  <si>
    <t>Lamting Tingmo</t>
  </si>
  <si>
    <t>Kolthang Tokday</t>
  </si>
  <si>
    <t>Kitam Manpur</t>
  </si>
  <si>
    <t>Kewzing-Bakhim</t>
  </si>
  <si>
    <t>Kateng Pamphok</t>
  </si>
  <si>
    <t>Damthang</t>
  </si>
  <si>
    <t>Chuba Phong</t>
  </si>
  <si>
    <t>Borong Phamthang</t>
  </si>
  <si>
    <t>Boomtar salleybong</t>
  </si>
  <si>
    <t>Ben Namphrik</t>
  </si>
  <si>
    <t>Barnayak Tokal</t>
  </si>
  <si>
    <t>Barfung-Zurung</t>
  </si>
  <si>
    <t>Assangthang</t>
  </si>
  <si>
    <t>ANNEXURE-III</t>
  </si>
  <si>
    <t>SOUTH DISTRICT</t>
  </si>
  <si>
    <t>Upper Fambong</t>
  </si>
  <si>
    <t>Soreng</t>
  </si>
  <si>
    <t>Sopakha</t>
  </si>
  <si>
    <t>Samsing Pipalay</t>
  </si>
  <si>
    <t>Rimbi Tiingbrum</t>
  </si>
  <si>
    <t>Pecherek Hee Patal</t>
  </si>
  <si>
    <t>Parengoan</t>
  </si>
  <si>
    <t>Martam</t>
  </si>
  <si>
    <t>Mangsari Mangurjung</t>
  </si>
  <si>
    <t>Maneybung</t>
  </si>
  <si>
    <t>Karthok Bojek</t>
  </si>
  <si>
    <t>Gelling Baiguney</t>
  </si>
  <si>
    <t>Bhudang</t>
  </si>
  <si>
    <t>Bermiok-Barthang</t>
  </si>
  <si>
    <t xml:space="preserve"> Zoom</t>
  </si>
  <si>
    <t xml:space="preserve"> Yuksum</t>
  </si>
  <si>
    <t xml:space="preserve"> Yangthang</t>
  </si>
  <si>
    <t xml:space="preserve"> Yangten</t>
  </si>
  <si>
    <t xml:space="preserve"> Timburbong</t>
  </si>
  <si>
    <t xml:space="preserve"> Thingle-Khachodpalri</t>
  </si>
  <si>
    <t xml:space="preserve"> Tharpu</t>
  </si>
  <si>
    <t xml:space="preserve"> Tashiding</t>
  </si>
  <si>
    <t xml:space="preserve"> Taktothang</t>
  </si>
  <si>
    <t xml:space="preserve"> Tadong-Rinchenpong</t>
  </si>
  <si>
    <t xml:space="preserve"> Suldung-Kamling</t>
  </si>
  <si>
    <t xml:space="preserve"> Singyang-Chumbong</t>
  </si>
  <si>
    <t xml:space="preserve"> Singling</t>
  </si>
  <si>
    <t xml:space="preserve"> SiktamTikpur</t>
  </si>
  <si>
    <t xml:space="preserve"> Sardong-Lungzik</t>
  </si>
  <si>
    <t xml:space="preserve"> Sangkhu Radukhandu</t>
  </si>
  <si>
    <t xml:space="preserve"> Sangadorji</t>
  </si>
  <si>
    <t xml:space="preserve"> Samdong</t>
  </si>
  <si>
    <t xml:space="preserve"> Rumbuk</t>
  </si>
  <si>
    <t xml:space="preserve"> Ribdi Bhareng</t>
  </si>
  <si>
    <t xml:space="preserve"> Okhrey</t>
  </si>
  <si>
    <t xml:space="preserve"> Mendogaon Berbotey</t>
  </si>
  <si>
    <t xml:space="preserve"> Meliaching </t>
  </si>
  <si>
    <t xml:space="preserve"> Malbasey</t>
  </si>
  <si>
    <t xml:space="preserve"> Mabong-Segeng</t>
  </si>
  <si>
    <t xml:space="preserve"> Lungchok Salyangdang</t>
  </si>
  <si>
    <t xml:space="preserve"> Lower Fambong</t>
  </si>
  <si>
    <t xml:space="preserve"> Lingchom-Tikjya</t>
  </si>
  <si>
    <t xml:space="preserve"> Kongri Labdang</t>
  </si>
  <si>
    <t xml:space="preserve"> Khaniserbong Suntaley</t>
  </si>
  <si>
    <t xml:space="preserve"> Karmatar-Gitang</t>
  </si>
  <si>
    <t xml:space="preserve"> Karchi Mangnam</t>
  </si>
  <si>
    <t xml:space="preserve"> Hee</t>
  </si>
  <si>
    <t xml:space="preserve"> Gyalshing-Omchung</t>
  </si>
  <si>
    <t xml:space="preserve"> Gerethang</t>
  </si>
  <si>
    <t xml:space="preserve"> Dodak</t>
  </si>
  <si>
    <t xml:space="preserve"> Dhupidara Narkhola</t>
  </si>
  <si>
    <t xml:space="preserve"> Deythang</t>
  </si>
  <si>
    <t xml:space="preserve"> Dentam</t>
  </si>
  <si>
    <t xml:space="preserve"> Darap Nambu</t>
  </si>
  <si>
    <t xml:space="preserve"> Chumbong</t>
  </si>
  <si>
    <t xml:space="preserve"> Chota Samdong Arubotey</t>
  </si>
  <si>
    <t xml:space="preserve"> Chingthang</t>
  </si>
  <si>
    <t xml:space="preserve"> Chakung</t>
  </si>
  <si>
    <t xml:space="preserve"> Burikhop</t>
  </si>
  <si>
    <t xml:space="preserve"> Bongten Sapong</t>
  </si>
  <si>
    <t xml:space="preserve"> Arithang Chongrang</t>
  </si>
  <si>
    <t>Polulation</t>
  </si>
  <si>
    <t>ANNEXURE-IV</t>
  </si>
  <si>
    <t>WEST DISTRICT</t>
  </si>
  <si>
    <t xml:space="preserve">Total </t>
  </si>
  <si>
    <t>West</t>
  </si>
  <si>
    <t>South</t>
  </si>
  <si>
    <t xml:space="preserve">North </t>
  </si>
  <si>
    <t xml:space="preserve">East </t>
  </si>
  <si>
    <t>Average Population</t>
  </si>
  <si>
    <t>District</t>
  </si>
  <si>
    <t>Average GP Population</t>
  </si>
  <si>
    <t>ANNEXURE-V</t>
  </si>
  <si>
    <r>
      <t>Note:</t>
    </r>
    <r>
      <rPr>
        <sz val="11"/>
        <color theme="1"/>
        <rFont val="Calibri"/>
        <family val="2"/>
      </rPr>
      <t xml:space="preserve"> Urban local bodies in Sikkim were set up only in 2010-11. As a result the recommendations of the first three State Finance Commissions relate only to Rural Local Bodies.</t>
    </r>
  </si>
  <si>
    <t>4.5 per cent of net proceeds of State's Own tax revenues</t>
  </si>
  <si>
    <t>2020-21 to 2024-25</t>
  </si>
  <si>
    <t>10.03.2018</t>
  </si>
  <si>
    <t>31.07.2017</t>
  </si>
  <si>
    <t>August' 2016</t>
  </si>
  <si>
    <t>SFC-V</t>
  </si>
  <si>
    <t>2.5 per cent of net proceeds of State Revenue comprising of tax and non-tax reveues</t>
  </si>
  <si>
    <t>2015-16 to 2019-20</t>
  </si>
  <si>
    <t>November '2014</t>
  </si>
  <si>
    <t>15.05.2013</t>
  </si>
  <si>
    <t>July' 2012</t>
  </si>
  <si>
    <t>SFC-IV</t>
  </si>
  <si>
    <t>2 per cent of net proceeds of State Revenue</t>
  </si>
  <si>
    <t>2010-11 to 2014-15</t>
  </si>
  <si>
    <t>March '2010</t>
  </si>
  <si>
    <t>March '2009</t>
  </si>
  <si>
    <t>SFC-III</t>
  </si>
  <si>
    <t>1 per cent of State's tax Receipts</t>
  </si>
  <si>
    <t>2005-06 to 2009-10</t>
  </si>
  <si>
    <t>February '2005</t>
  </si>
  <si>
    <t>September '2004</t>
  </si>
  <si>
    <t>July '2003</t>
  </si>
  <si>
    <t>SFC-II</t>
  </si>
  <si>
    <t>1 per cent of net proceeds of all taxes</t>
  </si>
  <si>
    <t>2000- 01 to 2004-05</t>
  </si>
  <si>
    <t>June'2000</t>
  </si>
  <si>
    <t>August '1999</t>
  </si>
  <si>
    <t>April'1998</t>
  </si>
  <si>
    <t>SFC-I</t>
  </si>
  <si>
    <t>Devolution Recommended to Local Bodies (consolidated)</t>
  </si>
  <si>
    <t>Period during which SFC recommendations were implemented</t>
  </si>
  <si>
    <t>Date of submission of ATR</t>
  </si>
  <si>
    <t>Date of submission of SFC Report</t>
  </si>
  <si>
    <t>Date of Constitution of SFC</t>
  </si>
  <si>
    <t>Particular</t>
  </si>
  <si>
    <t>Details of State Finance Commissions (SFC) – Constitution and Submission</t>
  </si>
  <si>
    <t>Schedule: 1A</t>
  </si>
  <si>
    <t>Note: For 2018-19 onwards the recommendations/projections made by SFC may be indicated, if not please leave it blank for years for which information is not available.</t>
  </si>
  <si>
    <t>* If SFC not constituted or where the first SFC has been consititued and its award is yet to be made or yet to be implemented, leave this column blank.</t>
  </si>
  <si>
    <t>−</t>
  </si>
  <si>
    <t>brgf/tfc</t>
  </si>
  <si>
    <t>Actual transfers</t>
  </si>
  <si>
    <t>Recommended by SFC*</t>
  </si>
  <si>
    <t>Others (Specify)</t>
  </si>
  <si>
    <t>Grants-in-Aid</t>
  </si>
  <si>
    <t>Devolution</t>
  </si>
  <si>
    <t>Amount actually passed on</t>
  </si>
  <si>
    <t>Collection from assigned taxes</t>
  </si>
  <si>
    <t>Year</t>
  </si>
  <si>
    <t>(Rs. in Lakhs)</t>
  </si>
  <si>
    <t>Transfer of Resources to District Panchayats</t>
  </si>
  <si>
    <t xml:space="preserve"> Transfer of Resources to Local Bodies 
(actuals upto 2017-18 and estimates/projections for 2018-19 onwards)</t>
  </si>
  <si>
    <t xml:space="preserve">Schedule -2A </t>
  </si>
  <si>
    <t>Transfer of Resources to Block Panchayats</t>
  </si>
  <si>
    <t xml:space="preserve">Schedule -2B </t>
  </si>
  <si>
    <t>TFC/MGNREGA/SGSY/IAY/NRDWP</t>
  </si>
  <si>
    <t>TFC/MGNREGA/SGSY/IAY</t>
  </si>
  <si>
    <t xml:space="preserve"> (Rs. in Lakhs)</t>
  </si>
  <si>
    <t>Transfer of resources to Village Panchayats</t>
  </si>
  <si>
    <t xml:space="preserve">Schedule -2C </t>
  </si>
  <si>
    <t xml:space="preserve">    (Rs. in Lakhs)</t>
  </si>
  <si>
    <t>Transfer of resources to Municipal Corporations</t>
  </si>
  <si>
    <t>Schedule -2D</t>
  </si>
  <si>
    <t>Transfer of resources to Municipalities</t>
  </si>
  <si>
    <t>Schedule -2E</t>
  </si>
  <si>
    <t>Transfer of resources to Town Panchayats</t>
  </si>
  <si>
    <t>Schedule -2F</t>
  </si>
  <si>
    <t>Both ZP &amp; GP</t>
  </si>
  <si>
    <t>Yes</t>
  </si>
  <si>
    <t>(29) Maintenance of community assets.</t>
  </si>
  <si>
    <t>(28) Public distribution system.</t>
  </si>
  <si>
    <t>(27) Welfare of the weaker sections, and in particular, of the Scheduled Castes and the Scheduled Tribes.</t>
  </si>
  <si>
    <t>(26) Social welfare, including welfare of the handicapped and mentally retarded.</t>
  </si>
  <si>
    <t>(25) Women and child development.</t>
  </si>
  <si>
    <t>(24) Family welfare.</t>
  </si>
  <si>
    <t>(23) Health and sanitation, including hospitals, primary health centres and dispensaries.</t>
  </si>
  <si>
    <t>(22) Markets and fairs.</t>
  </si>
  <si>
    <t>(21) Cultural activities.</t>
  </si>
  <si>
    <t>(20) Libraries.</t>
  </si>
  <si>
    <t>(19) Adult and non-formal education.</t>
  </si>
  <si>
    <t>(18) Technical training and vocational education.</t>
  </si>
  <si>
    <t>(17) Education including primary and secondary schools.</t>
  </si>
  <si>
    <t>(16) Poverty alleviation programme.</t>
  </si>
  <si>
    <t>(15) Non-conventional energy sources.</t>
  </si>
  <si>
    <t>(14) Rural electrification, including distribution of electricity.</t>
  </si>
  <si>
    <t>(13) Roads, culverts, bridges, ferries, waterways and other means of communication.</t>
  </si>
  <si>
    <t>(12) Fuel and fodder.</t>
  </si>
  <si>
    <t>(11) Drinking water.</t>
  </si>
  <si>
    <t>(10) Rural housing.</t>
  </si>
  <si>
    <t>(9) Khadi, village and cottage industries.</t>
  </si>
  <si>
    <t>(8) Small scale industries, including food-processing industries.</t>
  </si>
  <si>
    <t>(7) Minor forest produce.</t>
  </si>
  <si>
    <t>(6) Social forestry and farm forestry.</t>
  </si>
  <si>
    <t>(5) Fisheries.</t>
  </si>
  <si>
    <t>(4) Animal husbandry, dairying and poultry.</t>
  </si>
  <si>
    <t>(3) Minor irrigation, water management and watershed development.</t>
  </si>
  <si>
    <t>(2) Land improvement, implementation of land reforms, land consolidation and soil conser­vation.</t>
  </si>
  <si>
    <t>(1) Agriculture including agricultural extension.</t>
  </si>
  <si>
    <t>Total Expenditure on the function/service in the year 2017-18      (In lakhs)</t>
  </si>
  <si>
    <t>Tier to which transferred</t>
  </si>
  <si>
    <t>Whether function transferrered
[yes/No]</t>
  </si>
  <si>
    <t>Name of function / service</t>
  </si>
  <si>
    <t>Functions / Services transferred to PRIs and Expenditure thereon.</t>
  </si>
  <si>
    <t xml:space="preserve">Schedule – 3A </t>
  </si>
  <si>
    <t>only Rangpo NP</t>
  </si>
  <si>
    <t>Nagar Panchayats</t>
  </si>
  <si>
    <t>YES</t>
  </si>
  <si>
    <t>18. Regulation of slaughter houses and tanneries.</t>
  </si>
  <si>
    <t>only Parking &amp; Public convinences</t>
  </si>
  <si>
    <t>All Tiers</t>
  </si>
  <si>
    <t>17. Public amenities including street lighting, parking lots, bus stops and public conveniences.</t>
  </si>
  <si>
    <t>Corporation</t>
  </si>
  <si>
    <t>16. Vital statistics including registration of births and deaths.</t>
  </si>
  <si>
    <t>_</t>
  </si>
  <si>
    <t>No</t>
  </si>
  <si>
    <t>15. Cattle pounds; prevention of cruelty to animals.</t>
  </si>
  <si>
    <t>14. Burials and burial grounds; cremations, cremation grounds; and electric crematoriums.</t>
  </si>
  <si>
    <t>13. Promotion of cultural, educational and aesthetic aspects.</t>
  </si>
  <si>
    <t>Only Parks &amp; gardens</t>
  </si>
  <si>
    <t>Corporation &amp; Councils</t>
  </si>
  <si>
    <t>12. Provision of urban amenities and facilities such as parks, gardens, playgrounds.</t>
  </si>
  <si>
    <t>11. Urban poverty alleviation.</t>
  </si>
  <si>
    <t>10. Slum improvement and upgradation.</t>
  </si>
  <si>
    <t>9. Safeguarding the interests of weaker sections of society, including the handicapped and mentally retarded.</t>
  </si>
  <si>
    <t>8. Urban forestry, protection of the environment and promotion of ecological aspects.</t>
  </si>
  <si>
    <t>7. Fire services.</t>
  </si>
  <si>
    <t>Sanitation conservancy &amp; soild waste is transferred.Sewerage is still being looked after by PHED.</t>
  </si>
  <si>
    <t>6. Public health, sanitation conservancy and solid waste management.</t>
  </si>
  <si>
    <t>5. Water supply for domestic, industrial and commercial purposes.</t>
  </si>
  <si>
    <t>4. Roads and bridges.</t>
  </si>
  <si>
    <t>3. Planning for economic and social development.</t>
  </si>
  <si>
    <t>Only regulation of construction &amp; approval of BPP.Salary upto March 2018 was paid by UDHD.</t>
  </si>
  <si>
    <t>2. Regulation of land-use and construction of buildings.</t>
  </si>
  <si>
    <t>1. Urban planning including town planning.</t>
  </si>
  <si>
    <t>Total Expenditure on the function/service in the year 2017-18</t>
  </si>
  <si>
    <t>Functions / Services transferred to ULBs and Expenditure thereon.</t>
  </si>
  <si>
    <t>Schedule – 3B</t>
  </si>
  <si>
    <t>* Other transfers from Govt. of India be covered only the schemes implemented by the District/Block/Village Panchayats</t>
  </si>
  <si>
    <t>Other Taxes</t>
  </si>
  <si>
    <t>Immovable Property Tax</t>
  </si>
  <si>
    <t>Non Tax
(Incl. user charges)</t>
  </si>
  <si>
    <t>Tax Revenue</t>
  </si>
  <si>
    <t>of which Borrowings</t>
  </si>
  <si>
    <t>Amount</t>
  </si>
  <si>
    <t>Others (specify)</t>
  </si>
  <si>
    <t>Grant-in-Aid from State Government</t>
  </si>
  <si>
    <t>Assigned + Devolution</t>
  </si>
  <si>
    <t>Transfers from 13th FC/ 14th FC</t>
  </si>
  <si>
    <t>Transfers from Central Government*</t>
  </si>
  <si>
    <t>Own Revenue</t>
  </si>
  <si>
    <t>Capital</t>
  </si>
  <si>
    <t>Revenue</t>
  </si>
  <si>
    <t>Capital Receipts</t>
  </si>
  <si>
    <t>Sources of Revenue</t>
  </si>
  <si>
    <t>Expenditure</t>
  </si>
  <si>
    <t>Others (specify) BRGF</t>
  </si>
  <si>
    <t xml:space="preserve"> Expenditure of Panchayati Raj Institutions and Sources of Revenue/Capital</t>
  </si>
  <si>
    <t xml:space="preserve">      (Rs. in Lakhs)</t>
  </si>
  <si>
    <t xml:space="preserve">Expenditure and sources of Revenue/Capital  of PRIs </t>
  </si>
  <si>
    <t>Schedule -4A</t>
  </si>
  <si>
    <t>2020-23</t>
  </si>
  <si>
    <t xml:space="preserve"> Expenditure of Urban Local Bodies and Sources of Revenue/Capital</t>
  </si>
  <si>
    <t>Expenditure and sources of Revenue/Capital  of ULBs</t>
  </si>
  <si>
    <t>Schedule -4B</t>
  </si>
  <si>
    <t>G. Others (specify)</t>
  </si>
  <si>
    <t>F. Market Borrowing/Institutional Borrowings</t>
  </si>
  <si>
    <t>E. Grant-in-Aid from State Government</t>
  </si>
  <si>
    <t>D(ii) Devolution</t>
  </si>
  <si>
    <t>D(i) Amount Actually passed on from assingned taxes</t>
  </si>
  <si>
    <t>C. Transfers from 13th FC/14th FC</t>
  </si>
  <si>
    <t xml:space="preserve">Transfers from Central Government </t>
  </si>
  <si>
    <t xml:space="preserve">ii. Own non-tax </t>
  </si>
  <si>
    <t>b. Other Taxes</t>
  </si>
  <si>
    <t>a. Immovable Property Tax</t>
  </si>
  <si>
    <t>i. Own tax (a+b)</t>
  </si>
  <si>
    <t>Items</t>
  </si>
  <si>
    <t>S.N.</t>
  </si>
  <si>
    <t>Total Population of Nagar Panchayats:</t>
  </si>
  <si>
    <t>Total Area of Nagar Panchayats:</t>
  </si>
  <si>
    <t>Number of Nagar Panchayats:</t>
  </si>
  <si>
    <t>Name of the State</t>
  </si>
  <si>
    <t>Nagar Panchayat</t>
  </si>
  <si>
    <t>Expenditure and source of Revenue of Urban Local Bodies</t>
  </si>
  <si>
    <t xml:space="preserve">Expenditure and Sources of Revenue of ULBs - </t>
  </si>
  <si>
    <t>(Rs. In Lakhs)</t>
  </si>
  <si>
    <t>Schedule - 4C(NP)</t>
  </si>
  <si>
    <t>Total Population of Municipalities:</t>
  </si>
  <si>
    <t>Total Area of Municipalities:</t>
  </si>
  <si>
    <t>Number of Municipalities:</t>
  </si>
  <si>
    <t>Schedule - 4C(MP)</t>
  </si>
  <si>
    <t>Total Population of Municipal Corporations:</t>
  </si>
  <si>
    <t>Total Area of Municipal Corporations:</t>
  </si>
  <si>
    <t>Number of Municipal Corporations:</t>
  </si>
  <si>
    <t>Municipal Corporation</t>
  </si>
  <si>
    <t>Schedule - 4C(MC)</t>
  </si>
  <si>
    <t>Total (B)</t>
  </si>
  <si>
    <t>Trade Licence</t>
  </si>
  <si>
    <t>Any other (Pl. specify) other revenue Sale of tender form etc.</t>
  </si>
  <si>
    <t>Irrigation Charges</t>
  </si>
  <si>
    <t>Fees/User charges</t>
  </si>
  <si>
    <t>Water Charges</t>
  </si>
  <si>
    <t>Non-Tax</t>
  </si>
  <si>
    <t>Total (A)</t>
  </si>
  <si>
    <t>Any other (Pl. specify)</t>
  </si>
  <si>
    <t>Octroi/Entry Tax</t>
  </si>
  <si>
    <t>Entertainment Tax</t>
  </si>
  <si>
    <t>Professional Tax</t>
  </si>
  <si>
    <t>Property Tax</t>
  </si>
  <si>
    <t>Tax</t>
  </si>
  <si>
    <t>Item</t>
  </si>
  <si>
    <t>Projections</t>
  </si>
  <si>
    <t>OWN REVENUE (INTERNAL REVENUE MOBILIZATION) OF VILLAGE PANCHAYATS</t>
  </si>
  <si>
    <t>Name of the State: Sikkim</t>
  </si>
  <si>
    <t>Schedule 5A(VP)</t>
  </si>
  <si>
    <t>OWN REVENUE (INTERNAL REVENUE MOBILIZATION) OF BLOCK PANCHAYATS</t>
  </si>
  <si>
    <t>Name of the State:___________</t>
  </si>
  <si>
    <t>Schedule 5A(BP)</t>
  </si>
  <si>
    <t>Any other (Pl. specify) other revenue</t>
  </si>
  <si>
    <t>OWN REVENUE (INTERNAL REVENUE MOBILIZATION) OF DISTRICT PANCHAYATS</t>
  </si>
  <si>
    <t>Schedule 5A(DP)</t>
  </si>
  <si>
    <t>Any other (Bank Interest</t>
  </si>
  <si>
    <t>Other Income</t>
  </si>
  <si>
    <t>Sales &amp; Hire Charges</t>
  </si>
  <si>
    <t>Rental Income</t>
  </si>
  <si>
    <t>OWN REVENUE (INTERNAL REVENUE MOBILIZATION) OF NAGAR PANCHAYATS</t>
  </si>
  <si>
    <t>Name of the State:SIKKIM</t>
  </si>
  <si>
    <t>Schedule 5B(NP)</t>
  </si>
  <si>
    <t>OWN REVENUE (INTERNAL REVENUE MOBILIZATION) OF MUNICIPALITIES</t>
  </si>
  <si>
    <t>Schedule 5B(MP)</t>
  </si>
  <si>
    <t>Sale/Hire Charges</t>
  </si>
  <si>
    <t>Rental Incomes</t>
  </si>
  <si>
    <t>Any other (Pl. specify) - Toll Charges</t>
  </si>
  <si>
    <t>OWN REVENUE (INTERNAL REVENUE MOBILIZATION) OF MUNICIPAL CORPORATIONS</t>
  </si>
  <si>
    <t>Schedule 5B(MC)</t>
  </si>
  <si>
    <t>Livelihood</t>
  </si>
  <si>
    <t>Animal Husbandary</t>
  </si>
  <si>
    <t>Agriculture</t>
  </si>
  <si>
    <t>Any other (pl. specify)</t>
  </si>
  <si>
    <t>d) Any other welfare expenditure for citizens (pl. specify)</t>
  </si>
  <si>
    <t>c) Health</t>
  </si>
  <si>
    <t>b) Pension etc. for citizens</t>
  </si>
  <si>
    <t>a) Education (excluding teachers salary)</t>
  </si>
  <si>
    <t>Welfare Expenditure for citizens</t>
  </si>
  <si>
    <t>(v) Any other maintenance Expenditure (Pl. specify)</t>
  </si>
  <si>
    <t>(iv) Other means of Communciation</t>
  </si>
  <si>
    <t>(iii) Roads</t>
  </si>
  <si>
    <t>(ii) Buildings/Community Assets</t>
  </si>
  <si>
    <t>(i) Water Supply</t>
  </si>
  <si>
    <t>Capital Expenditure</t>
  </si>
  <si>
    <t>(vii) Any other maintenance Expenditure (Pl. specify)</t>
  </si>
  <si>
    <t>(vi) Sanitation (incl. Strom Water Drainage and Solied Waste Management)</t>
  </si>
  <si>
    <t>(v) Street Lighting</t>
  </si>
  <si>
    <t>Maintenance</t>
  </si>
  <si>
    <t>e) Honorarium &amp; Discretionary fund to Panchayats</t>
  </si>
  <si>
    <t>c) Any other (Pl. specify) Office Expenses</t>
  </si>
  <si>
    <t xml:space="preserve">b) Pension etc. for employees </t>
  </si>
  <si>
    <t>a) Salaries &amp; wages for employees</t>
  </si>
  <si>
    <t>Establishment</t>
  </si>
  <si>
    <t>2011-11</t>
  </si>
  <si>
    <t>S.No.</t>
  </si>
  <si>
    <t>EXPENDITURE OF VILLAGE PANCHAYATS</t>
  </si>
  <si>
    <t>Name of the State:Sikkim</t>
  </si>
  <si>
    <t>Schedule 6A (VP)</t>
  </si>
  <si>
    <t>(vi) Sanitation (incl. Strom Water Drainage and SolId Waste Management)</t>
  </si>
  <si>
    <t>c) Any other (Pl. specify)</t>
  </si>
  <si>
    <t>N.A</t>
  </si>
  <si>
    <t>EXPENDITURE OF BLOCK PANCHAYATS</t>
  </si>
  <si>
    <t>Schedule 6A (BP)</t>
  </si>
  <si>
    <t>EXPENDITURE OF DISTRICT PANCHAYATS</t>
  </si>
  <si>
    <t>Schedule 6A (DP)</t>
  </si>
  <si>
    <t>Programme Expenses</t>
  </si>
  <si>
    <t>Bank Charges</t>
  </si>
  <si>
    <t>Operation Expenses</t>
  </si>
  <si>
    <t>Administrative Expenses</t>
  </si>
  <si>
    <t>(vii) Other assets</t>
  </si>
  <si>
    <t>(vi) Crematorium</t>
  </si>
  <si>
    <t>(v) Computer</t>
  </si>
  <si>
    <t>(iv)Sewerage &amp; Drainage</t>
  </si>
  <si>
    <t>(iii) Roads &amp; Bridges</t>
  </si>
  <si>
    <t>(ii) Buildings</t>
  </si>
  <si>
    <t>(x) Civic Amenities / Infrastructure</t>
  </si>
  <si>
    <t>(ix) Office Equipment</t>
  </si>
  <si>
    <t>(viii) Market</t>
  </si>
  <si>
    <t>(vii) Vehicle</t>
  </si>
  <si>
    <t>EXPENDITURE OF NAGAR PANCHAYATS</t>
  </si>
  <si>
    <t>Schedule 6B (NP)</t>
  </si>
  <si>
    <t>EXPENDITURE OF MUNICIPALITIES</t>
  </si>
  <si>
    <t>Schedule 6B (MP)</t>
  </si>
  <si>
    <t>Trainning &amp; Awareness Exp.</t>
  </si>
  <si>
    <t>Membership fee</t>
  </si>
  <si>
    <t>Postage &amp; telegram</t>
  </si>
  <si>
    <t>Disposal of Paper Dead Bodies</t>
  </si>
  <si>
    <t>Disaster preparedness Exp.</t>
  </si>
  <si>
    <t>Consultancy Fees</t>
  </si>
  <si>
    <t>Linen &amp; Furnishing</t>
  </si>
  <si>
    <t>Technical Fees</t>
  </si>
  <si>
    <t>Office MaintEnance- Sewerage</t>
  </si>
  <si>
    <t>Newspaper Expenses</t>
  </si>
  <si>
    <t>Water Charge</t>
  </si>
  <si>
    <t>Trainning Expenses</t>
  </si>
  <si>
    <t>Cell Phone Expenses</t>
  </si>
  <si>
    <t>Website Fees &amp; Internet Related Expenses</t>
  </si>
  <si>
    <t>Travelling &amp; Conveyance - Other</t>
  </si>
  <si>
    <t>Telephone Expenses</t>
  </si>
  <si>
    <t>Stationery</t>
  </si>
  <si>
    <t>Septic Tank Clearance Charges</t>
  </si>
  <si>
    <t>Sanitary &amp; Conservancy</t>
  </si>
  <si>
    <t>Rent of Office Building</t>
  </si>
  <si>
    <t>Printing</t>
  </si>
  <si>
    <t>Oil &amp; Lubricants</t>
  </si>
  <si>
    <t>Office Expenses</t>
  </si>
  <si>
    <t>Misc. Exp. Agt. Donation of Fund/Assets</t>
  </si>
  <si>
    <t>Medical Reimbursement</t>
  </si>
  <si>
    <t>Misc. Programme Expenses</t>
  </si>
  <si>
    <t>Meeting &amp; Other Contingency</t>
  </si>
  <si>
    <t>Hire Charges - Road Roller</t>
  </si>
  <si>
    <t>Hire Charges - Truck</t>
  </si>
  <si>
    <t>Hire Charges - Bull Dozer</t>
  </si>
  <si>
    <t>Garbage Clearance Expenses</t>
  </si>
  <si>
    <t>Electricity Expenses</t>
  </si>
  <si>
    <t xml:space="preserve"> Petrol &amp; Diesel</t>
  </si>
  <si>
    <t>Depreciation</t>
  </si>
  <si>
    <t>Computer Consumables</t>
  </si>
  <si>
    <t>Books &amp; Periodical</t>
  </si>
  <si>
    <t xml:space="preserve">Allowances to Councillors - </t>
  </si>
  <si>
    <t>Allowances to Councillors - Chairman/Mayor</t>
  </si>
  <si>
    <t>Advertisement &amp; Publicity</t>
  </si>
  <si>
    <t>c) Any other welfare expenditure for citizens (pl. specify)</t>
  </si>
  <si>
    <t>(xxii)  software Licence Fees</t>
  </si>
  <si>
    <t>(xxi)  Public Conveyance</t>
  </si>
  <si>
    <t>(xx)  Bull Dozer</t>
  </si>
  <si>
    <t>(xix)  electrical Fitting &amp; Installation</t>
  </si>
  <si>
    <t>(xviii) Fans</t>
  </si>
  <si>
    <t>(xvii) Jeeps</t>
  </si>
  <si>
    <t>(xvi) Cars</t>
  </si>
  <si>
    <t>(xv) Xerox</t>
  </si>
  <si>
    <t>(xiv) Water Cooler</t>
  </si>
  <si>
    <t>(xiii) Truck</t>
  </si>
  <si>
    <t>(xii) Office Machine &amp; Equiptment</t>
  </si>
  <si>
    <t>(xi) Printer</t>
  </si>
  <si>
    <t>(x) Other Furniture &amp; Fixture</t>
  </si>
  <si>
    <t>(ix) Lamination Machine</t>
  </si>
  <si>
    <t>(viii) Dustbin</t>
  </si>
  <si>
    <t>(vii) Table</t>
  </si>
  <si>
    <t>(vi) Computer</t>
  </si>
  <si>
    <t>(v) Chair</t>
  </si>
  <si>
    <t>(iv)Almirah</t>
  </si>
  <si>
    <t>(xvi) Diesel</t>
  </si>
  <si>
    <t>(xv) Market</t>
  </si>
  <si>
    <t>(xiv) Garbage Plant</t>
  </si>
  <si>
    <t>(xiii) Storm Water Drain</t>
  </si>
  <si>
    <t>(xii) Electrical Appliances</t>
  </si>
  <si>
    <t>(xi) Bull Dozer</t>
  </si>
  <si>
    <t>(x) Furniture</t>
  </si>
  <si>
    <t>(ix) Office equiptment</t>
  </si>
  <si>
    <t>(viii) Parking Lots</t>
  </si>
  <si>
    <t>(vii) Jeeps</t>
  </si>
  <si>
    <t>(vi) Cars</t>
  </si>
  <si>
    <t>(v) Public Toilet</t>
  </si>
  <si>
    <t>(iv) Truck</t>
  </si>
  <si>
    <t>g) contribution to State Govt.</t>
  </si>
  <si>
    <t>f) Honorarium to Corporate</t>
  </si>
  <si>
    <t>e) Leave Salary Contribution</t>
  </si>
  <si>
    <t>d) increment arrears</t>
  </si>
  <si>
    <t>c) leave Encashment</t>
  </si>
  <si>
    <t>EXPENDITURE OF MUNICIPAL CORPORATIONS</t>
  </si>
  <si>
    <t>Schedule 6B(MC)</t>
  </si>
  <si>
    <t>have been adopted by the concerned Local Body.</t>
  </si>
  <si>
    <t xml:space="preserve">Note: While providing information for Column No.3 "Maintenance of Accounts" please indicate the year up to which accounts </t>
  </si>
  <si>
    <r>
      <t xml:space="preserve">Details of professional tax collected. </t>
    </r>
    <r>
      <rPr>
        <b/>
        <sz val="14"/>
        <color indexed="8"/>
        <rFont val="Calibri"/>
        <family val="2"/>
      </rPr>
      <t>N. A</t>
    </r>
  </si>
  <si>
    <r>
      <t xml:space="preserve">Billing and collection mechanism in place. </t>
    </r>
    <r>
      <rPr>
        <b/>
        <sz val="14"/>
        <color indexed="8"/>
        <rFont val="Calibri"/>
        <family val="2"/>
      </rPr>
      <t>N. A</t>
    </r>
  </si>
  <si>
    <r>
      <t xml:space="preserve">Are employers required to register themselves for payment of professional tax. </t>
    </r>
    <r>
      <rPr>
        <b/>
        <sz val="14"/>
        <color indexed="8"/>
        <rFont val="Calibri"/>
        <family val="2"/>
      </rPr>
      <t>N. A</t>
    </r>
  </si>
  <si>
    <r>
      <t xml:space="preserve">List of Professional Tax payers available, upto which date the list has been updated. </t>
    </r>
    <r>
      <rPr>
        <b/>
        <sz val="14"/>
        <color indexed="8"/>
        <rFont val="Calibri"/>
        <family val="2"/>
      </rPr>
      <t>N.A</t>
    </r>
  </si>
  <si>
    <r>
      <t xml:space="preserve">Does the PRIs collect professional tax? If not which agency does. </t>
    </r>
    <r>
      <rPr>
        <b/>
        <sz val="14"/>
        <color indexed="8"/>
        <rFont val="Calibri"/>
        <family val="2"/>
      </rPr>
      <t>No/ State Government</t>
    </r>
  </si>
  <si>
    <r>
      <t xml:space="preserve">Is Professional Tax levied. </t>
    </r>
    <r>
      <rPr>
        <b/>
        <sz val="14"/>
        <color indexed="8"/>
        <rFont val="Calibri"/>
        <family val="2"/>
      </rPr>
      <t>Yes</t>
    </r>
  </si>
  <si>
    <t>Status of Employees census</t>
  </si>
  <si>
    <r>
      <t>Latest year upto which audit completed.</t>
    </r>
    <r>
      <rPr>
        <b/>
        <sz val="14"/>
        <color indexed="8"/>
        <rFont val="Calibri"/>
        <family val="2"/>
      </rPr>
      <t xml:space="preserve"> 2016-17</t>
    </r>
  </si>
  <si>
    <r>
      <t xml:space="preserve">Details of audit accounting authority. </t>
    </r>
    <r>
      <rPr>
        <b/>
        <sz val="14"/>
        <color indexed="8"/>
        <rFont val="Calibri"/>
        <family val="2"/>
      </rPr>
      <t>Directorate of Local Fund Audit/ C &amp; AG/ Chartered Accountant</t>
    </r>
  </si>
  <si>
    <r>
      <t>Latest year upto which accounts maintained.</t>
    </r>
    <r>
      <rPr>
        <b/>
        <sz val="14"/>
        <color indexed="8"/>
        <rFont val="Calibri"/>
        <family val="2"/>
      </rPr>
      <t xml:space="preserve"> 2016-17</t>
    </r>
  </si>
  <si>
    <r>
      <t xml:space="preserve">Whether revised formats revised by CAG adopted for accounting purpose. </t>
    </r>
    <r>
      <rPr>
        <b/>
        <sz val="14"/>
        <color indexed="8"/>
        <rFont val="Calibri"/>
        <family val="2"/>
      </rPr>
      <t>Yes</t>
    </r>
  </si>
  <si>
    <r>
      <t xml:space="preserve">Authority who maintaines the accounts of PRI's. </t>
    </r>
    <r>
      <rPr>
        <b/>
        <sz val="14"/>
        <color indexed="8"/>
        <rFont val="Calibri"/>
        <family val="2"/>
      </rPr>
      <t>Panchayat</t>
    </r>
  </si>
  <si>
    <t>Schedule 7A</t>
  </si>
  <si>
    <t>Details of professional tax collected. N.A.</t>
  </si>
  <si>
    <r>
      <t xml:space="preserve">Billing and collection mechanism in place. </t>
    </r>
    <r>
      <rPr>
        <b/>
        <sz val="14"/>
        <color indexed="8"/>
        <rFont val="Calibri"/>
        <family val="2"/>
      </rPr>
      <t xml:space="preserve">Deducted from salary bills as per slabs and remitted to the collecting authority. </t>
    </r>
  </si>
  <si>
    <t>Are employers required to register themselves for payment of professional tax. No</t>
  </si>
  <si>
    <t>List of Professional Tax payers available, upto which date the list has been updated.N.A.</t>
  </si>
  <si>
    <r>
      <t xml:space="preserve">Does the ULBs collect professional tax? If not which agency does: </t>
    </r>
    <r>
      <rPr>
        <b/>
        <sz val="14"/>
        <color indexed="8"/>
        <rFont val="Calibri"/>
        <family val="2"/>
      </rPr>
      <t>No.It is collected by Commercial Tax Division,FRED.</t>
    </r>
  </si>
  <si>
    <r>
      <t xml:space="preserve">Is Professional Tax levied: </t>
    </r>
    <r>
      <rPr>
        <b/>
        <sz val="14"/>
        <color indexed="8"/>
        <rFont val="Calibri"/>
        <family val="2"/>
      </rPr>
      <t>Yes</t>
    </r>
  </si>
  <si>
    <t>Latest year upto which audit completed.:2016-17</t>
  </si>
  <si>
    <r>
      <t xml:space="preserve">Details of audit accounting authority:  </t>
    </r>
    <r>
      <rPr>
        <b/>
        <sz val="14"/>
        <color indexed="8"/>
        <rFont val="Calibri"/>
        <family val="2"/>
      </rPr>
      <t>CAG and Local Fund Audit,FRED</t>
    </r>
  </si>
  <si>
    <r>
      <t>Latest year upto which accounts maintained:</t>
    </r>
    <r>
      <rPr>
        <b/>
        <sz val="14"/>
        <color indexed="8"/>
        <rFont val="Calibri"/>
        <family val="2"/>
      </rPr>
      <t>2017-18</t>
    </r>
  </si>
  <si>
    <r>
      <t xml:space="preserve">Whether revised formats revised by CAG adopted for accounting purpose: </t>
    </r>
    <r>
      <rPr>
        <b/>
        <sz val="14"/>
        <color indexed="8"/>
        <rFont val="Calibri"/>
        <family val="2"/>
      </rPr>
      <t>The state Municipal Accounting Manual based on the National Municipal Accounting Manual is being followed.</t>
    </r>
  </si>
  <si>
    <r>
      <t>Authority who maintaines the accounts of ULB's.</t>
    </r>
    <r>
      <rPr>
        <b/>
        <sz val="14"/>
        <color indexed="8"/>
        <rFont val="Calibri"/>
        <family val="2"/>
      </rPr>
      <t xml:space="preserve"> Senior Finance Officer at Gangtok Municipal Corporation and Municipal Executive Officer in all other ULBs.Statutory Audit of the Financial statement is carried out by Chartered Accountants.The TG&amp;S is provided by CAG. </t>
    </r>
  </si>
  <si>
    <t>Schedule 7B</t>
  </si>
  <si>
    <t>SCHEDULES OF FINANCIAL POSITION</t>
  </si>
  <si>
    <t>Sikkim does not have Block Panchayats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</si>
</sst>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s>
  <fonts count="66">
    <font>
      <sz val="11"/>
      <color theme="1"/>
      <name val="Calibri"/>
      <family val="2"/>
    </font>
    <font>
      <sz val="11"/>
      <color indexed="8"/>
      <name val="Calibri"/>
      <family val="2"/>
    </font>
    <font>
      <sz val="10"/>
      <name val="Arial"/>
      <family val="2"/>
    </font>
    <font>
      <b/>
      <sz val="11"/>
      <name val="Arial"/>
      <family val="2"/>
    </font>
    <font>
      <sz val="11"/>
      <name val="Arial"/>
      <family val="2"/>
    </font>
    <font>
      <b/>
      <sz val="12"/>
      <name val="Arial"/>
      <family val="2"/>
    </font>
    <font>
      <b/>
      <sz val="11"/>
      <color indexed="8"/>
      <name val="Calibri"/>
      <family val="2"/>
    </font>
    <font>
      <b/>
      <i/>
      <sz val="10"/>
      <name val="Arial"/>
      <family val="2"/>
    </font>
    <font>
      <b/>
      <sz val="10"/>
      <name val="Arial"/>
      <family val="2"/>
    </font>
    <font>
      <sz val="12"/>
      <name val="Arial"/>
      <family val="2"/>
    </font>
    <font>
      <b/>
      <sz val="14"/>
      <name val="Arial"/>
      <family val="2"/>
    </font>
    <font>
      <sz val="10"/>
      <color indexed="8"/>
      <name val="Arial"/>
      <family val="2"/>
    </font>
    <font>
      <sz val="8"/>
      <name val="Arial"/>
      <family val="2"/>
    </font>
    <font>
      <sz val="9"/>
      <name val="Arial"/>
      <family val="2"/>
    </font>
    <font>
      <sz val="12"/>
      <name val="Calibri"/>
      <family val="2"/>
    </font>
    <font>
      <sz val="10"/>
      <name val="Aerial"/>
      <family val="0"/>
    </font>
    <font>
      <b/>
      <sz val="9"/>
      <name val="Arial"/>
      <family val="2"/>
    </font>
    <font>
      <i/>
      <sz val="11"/>
      <name val="Arial"/>
      <family val="2"/>
    </font>
    <font>
      <sz val="13"/>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Times New Roman"/>
      <family val="1"/>
    </font>
    <font>
      <sz val="10"/>
      <color indexed="63"/>
      <name val="Aerial"/>
      <family val="0"/>
    </font>
    <font>
      <sz val="11"/>
      <color indexed="63"/>
      <name val="Aerial"/>
      <family val="0"/>
    </font>
    <font>
      <sz val="14"/>
      <color indexed="8"/>
      <name val="Calibri"/>
      <family val="2"/>
    </font>
    <font>
      <sz val="10"/>
      <color indexed="8"/>
      <name val="Calibri"/>
      <family val="2"/>
    </font>
    <font>
      <b/>
      <u val="single"/>
      <sz val="14"/>
      <color indexed="8"/>
      <name val="Calibri"/>
      <family val="2"/>
    </font>
    <font>
      <b/>
      <u val="single"/>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0"/>
      <color rgb="FF424142"/>
      <name val="Aerial"/>
      <family val="0"/>
    </font>
    <font>
      <sz val="11"/>
      <color rgb="FF424142"/>
      <name val="Aerial"/>
      <family val="0"/>
    </font>
    <font>
      <sz val="14"/>
      <color theme="1"/>
      <name val="Calibri"/>
      <family val="2"/>
    </font>
    <font>
      <b/>
      <sz val="14"/>
      <color theme="1"/>
      <name val="Calibri"/>
      <family val="2"/>
    </font>
    <font>
      <sz val="10"/>
      <color theme="1"/>
      <name val="Calibri"/>
      <family val="2"/>
    </font>
    <font>
      <b/>
      <u val="single"/>
      <sz val="14"/>
      <color theme="1"/>
      <name val="Calibri"/>
      <family val="2"/>
    </font>
    <font>
      <b/>
      <u val="single"/>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thin"/>
      <top style="thin"/>
      <bottom style="medium"/>
    </border>
    <border>
      <left style="medium"/>
      <right style="thin"/>
      <top style="thin"/>
      <bottom style="thin"/>
    </border>
    <border>
      <left style="medium"/>
      <right style="thin"/>
      <top style="medium"/>
      <bottom style="thin"/>
    </border>
    <border>
      <left/>
      <right style="medium"/>
      <top/>
      <bottom style="medium"/>
    </border>
    <border>
      <left/>
      <right/>
      <top/>
      <bottom style="medium"/>
    </border>
    <border>
      <left style="thin"/>
      <right style="medium"/>
      <top style="thin"/>
      <bottom style="medium"/>
    </border>
    <border>
      <left style="thin"/>
      <right style="thin"/>
      <top style="thin"/>
      <bottom style="medium"/>
    </border>
    <border>
      <left style="thin"/>
      <right style="medium"/>
      <top style="thin"/>
      <bottom style="thin"/>
    </border>
    <border>
      <left style="thin"/>
      <right style="medium"/>
      <top/>
      <bottom style="thin"/>
    </border>
    <border>
      <left style="thin"/>
      <right style="thin"/>
      <top/>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thin"/>
      <top style="medium"/>
      <bottom/>
    </border>
    <border>
      <left style="medium"/>
      <right style="thin"/>
      <top style="medium"/>
      <bottom/>
    </border>
    <border>
      <left style="thin">
        <color indexed="8"/>
      </left>
      <right style="thin">
        <color indexed="8"/>
      </right>
      <top style="thin">
        <color indexed="8"/>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style="medium"/>
      <right/>
      <top style="medium"/>
      <bottom/>
    </border>
    <border>
      <left/>
      <right/>
      <top style="medium"/>
      <bottom/>
    </border>
    <border>
      <left/>
      <right style="medium"/>
      <top style="medium"/>
      <bottom/>
    </border>
    <border>
      <left/>
      <right style="medium"/>
      <top/>
      <bottom/>
    </border>
    <border>
      <left style="medium"/>
      <right style="thin"/>
      <top style="thin"/>
      <bottom/>
    </border>
    <border>
      <left style="thin"/>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01">
    <xf numFmtId="0" fontId="0" fillId="0" borderId="0" xfId="0" applyFont="1" applyAlignment="1">
      <alignment/>
    </xf>
    <xf numFmtId="0" fontId="2" fillId="0" borderId="0" xfId="57">
      <alignment/>
      <protection/>
    </xf>
    <xf numFmtId="0" fontId="2" fillId="0" borderId="10" xfId="57" applyBorder="1">
      <alignment/>
      <protection/>
    </xf>
    <xf numFmtId="0" fontId="2" fillId="0" borderId="0" xfId="57" applyAlignment="1">
      <alignment horizontal="center"/>
      <protection/>
    </xf>
    <xf numFmtId="0" fontId="2" fillId="0" borderId="10" xfId="57" applyBorder="1" applyAlignment="1">
      <alignment horizontal="center"/>
      <protection/>
    </xf>
    <xf numFmtId="0" fontId="7" fillId="0" borderId="10" xfId="57" applyFont="1" applyBorder="1">
      <alignment/>
      <protection/>
    </xf>
    <xf numFmtId="0" fontId="7" fillId="0" borderId="10" xfId="57" applyFont="1" applyBorder="1" applyAlignment="1">
      <alignment horizontal="center"/>
      <protection/>
    </xf>
    <xf numFmtId="0" fontId="8" fillId="0" borderId="10" xfId="57" applyFont="1" applyBorder="1">
      <alignment/>
      <protection/>
    </xf>
    <xf numFmtId="0" fontId="8" fillId="0" borderId="10" xfId="57" applyFont="1" applyBorder="1" applyAlignment="1">
      <alignment horizontal="center"/>
      <protection/>
    </xf>
    <xf numFmtId="2" fontId="2" fillId="0" borderId="10" xfId="57" applyNumberFormat="1" applyBorder="1">
      <alignment/>
      <protection/>
    </xf>
    <xf numFmtId="0" fontId="2" fillId="0" borderId="0" xfId="57" applyBorder="1">
      <alignment/>
      <protection/>
    </xf>
    <xf numFmtId="0" fontId="5" fillId="0" borderId="0" xfId="57" applyFont="1" applyAlignment="1">
      <alignment horizontal="left" vertical="top" wrapText="1"/>
      <protection/>
    </xf>
    <xf numFmtId="0" fontId="8" fillId="0" borderId="0" xfId="57" applyFont="1" applyAlignment="1">
      <alignment horizontal="center" vertical="top"/>
      <protection/>
    </xf>
    <xf numFmtId="0" fontId="9" fillId="0" borderId="0" xfId="57" applyFont="1" applyAlignment="1">
      <alignment horizontal="left" vertical="top" wrapText="1"/>
      <protection/>
    </xf>
    <xf numFmtId="2" fontId="9" fillId="0" borderId="0" xfId="57" applyNumberFormat="1" applyFont="1" applyFill="1" applyBorder="1" applyAlignment="1">
      <alignment horizontal="right" vertical="top" wrapText="1"/>
      <protection/>
    </xf>
    <xf numFmtId="0" fontId="9" fillId="0" borderId="0" xfId="57" applyFont="1" applyBorder="1" applyAlignment="1">
      <alignment horizontal="left" vertical="top" wrapText="1"/>
      <protection/>
    </xf>
    <xf numFmtId="0" fontId="8" fillId="0" borderId="0" xfId="57" applyFont="1" applyAlignment="1">
      <alignment horizontal="center" vertical="center"/>
      <protection/>
    </xf>
    <xf numFmtId="2" fontId="9" fillId="0" borderId="10" xfId="57" applyNumberFormat="1" applyFont="1" applyFill="1" applyBorder="1" applyAlignment="1">
      <alignment horizontal="right" vertical="top" wrapText="1"/>
      <protection/>
    </xf>
    <xf numFmtId="0" fontId="9" fillId="0" borderId="10" xfId="57" applyFont="1" applyBorder="1" applyAlignment="1">
      <alignment horizontal="left" vertical="top" wrapText="1"/>
      <protection/>
    </xf>
    <xf numFmtId="0" fontId="9" fillId="0" borderId="10" xfId="57" applyFont="1" applyFill="1" applyBorder="1" applyAlignment="1">
      <alignment horizontal="right" vertical="top" wrapText="1"/>
      <protection/>
    </xf>
    <xf numFmtId="0" fontId="9" fillId="0" borderId="0" xfId="57" applyFont="1" applyFill="1" applyAlignment="1">
      <alignment horizontal="left" vertical="top" wrapText="1"/>
      <protection/>
    </xf>
    <xf numFmtId="1" fontId="8" fillId="0" borderId="10" xfId="57" applyNumberFormat="1" applyFont="1" applyBorder="1">
      <alignment/>
      <protection/>
    </xf>
    <xf numFmtId="1" fontId="2" fillId="0" borderId="10" xfId="57" applyNumberFormat="1" applyBorder="1">
      <alignment/>
      <protection/>
    </xf>
    <xf numFmtId="1" fontId="2" fillId="33" borderId="10" xfId="57" applyNumberFormat="1" applyFont="1" applyFill="1" applyBorder="1">
      <alignment/>
      <protection/>
    </xf>
    <xf numFmtId="0" fontId="2" fillId="0" borderId="10" xfId="57" applyFont="1" applyBorder="1">
      <alignment/>
      <protection/>
    </xf>
    <xf numFmtId="1" fontId="2" fillId="0" borderId="10" xfId="57" applyNumberFormat="1" applyFont="1" applyBorder="1">
      <alignment/>
      <protection/>
    </xf>
    <xf numFmtId="0" fontId="5" fillId="0" borderId="0" xfId="57" applyFont="1" applyAlignment="1">
      <alignment horizontal="left" vertical="top"/>
      <protection/>
    </xf>
    <xf numFmtId="0" fontId="5" fillId="0" borderId="0" xfId="57" applyFont="1" applyAlignment="1">
      <alignment horizontal="center" vertical="top" wrapText="1"/>
      <protection/>
    </xf>
    <xf numFmtId="0" fontId="0" fillId="0" borderId="0" xfId="0" applyAlignment="1">
      <alignment horizontal="center"/>
    </xf>
    <xf numFmtId="2" fontId="56" fillId="0" borderId="0" xfId="0" applyNumberFormat="1" applyFont="1" applyAlignment="1">
      <alignment horizontal="right"/>
    </xf>
    <xf numFmtId="0" fontId="6" fillId="0" borderId="0" xfId="59" applyFont="1" applyFill="1" applyBorder="1" applyAlignment="1">
      <alignment horizontal="right" wrapText="1"/>
      <protection/>
    </xf>
    <xf numFmtId="0" fontId="56" fillId="0" borderId="10" xfId="0" applyFont="1" applyBorder="1" applyAlignment="1">
      <alignment/>
    </xf>
    <xf numFmtId="0" fontId="6" fillId="0" borderId="10" xfId="59" applyFont="1" applyFill="1" applyBorder="1" applyAlignment="1">
      <alignment wrapText="1"/>
      <protection/>
    </xf>
    <xf numFmtId="0" fontId="0" fillId="0" borderId="10" xfId="0" applyBorder="1" applyAlignment="1">
      <alignment/>
    </xf>
    <xf numFmtId="0" fontId="1" fillId="0" borderId="10" xfId="59" applyFont="1" applyFill="1" applyBorder="1" applyAlignment="1">
      <alignment horizontal="right" wrapText="1"/>
      <protection/>
    </xf>
    <xf numFmtId="0" fontId="1" fillId="0" borderId="10" xfId="59" applyFont="1" applyFill="1" applyBorder="1" applyAlignment="1">
      <alignment wrapText="1"/>
      <protection/>
    </xf>
    <xf numFmtId="0" fontId="1" fillId="34" borderId="10" xfId="59" applyFont="1" applyFill="1" applyBorder="1" applyAlignment="1">
      <alignment horizontal="center"/>
      <protection/>
    </xf>
    <xf numFmtId="0" fontId="6" fillId="0" borderId="10" xfId="60" applyFont="1" applyFill="1" applyBorder="1" applyAlignment="1">
      <alignment wrapText="1"/>
      <protection/>
    </xf>
    <xf numFmtId="0" fontId="1" fillId="0" borderId="10" xfId="60" applyFont="1" applyFill="1" applyBorder="1" applyAlignment="1">
      <alignment horizontal="right" wrapText="1"/>
      <protection/>
    </xf>
    <xf numFmtId="0" fontId="1" fillId="0" borderId="10" xfId="60" applyFont="1" applyFill="1" applyBorder="1" applyAlignment="1">
      <alignment wrapText="1"/>
      <protection/>
    </xf>
    <xf numFmtId="0" fontId="1" fillId="34" borderId="10" xfId="60" applyFont="1" applyFill="1" applyBorder="1" applyAlignment="1">
      <alignment horizontal="center"/>
      <protection/>
    </xf>
    <xf numFmtId="0" fontId="6" fillId="0" borderId="10" xfId="61" applyFont="1" applyFill="1" applyBorder="1" applyAlignment="1">
      <alignment wrapText="1"/>
      <protection/>
    </xf>
    <xf numFmtId="0" fontId="1" fillId="0" borderId="10" xfId="61" applyFont="1" applyFill="1" applyBorder="1" applyAlignment="1">
      <alignment horizontal="right" wrapText="1"/>
      <protection/>
    </xf>
    <xf numFmtId="0" fontId="1" fillId="0" borderId="10" xfId="61" applyFont="1" applyFill="1" applyBorder="1" applyAlignment="1">
      <alignment wrapText="1"/>
      <protection/>
    </xf>
    <xf numFmtId="0" fontId="1" fillId="34" borderId="10" xfId="61" applyFont="1" applyFill="1" applyBorder="1" applyAlignment="1">
      <alignment horizontal="center"/>
      <protection/>
    </xf>
    <xf numFmtId="2" fontId="0" fillId="0" borderId="0" xfId="0" applyNumberFormat="1" applyAlignment="1">
      <alignment/>
    </xf>
    <xf numFmtId="2" fontId="0" fillId="0" borderId="0" xfId="0" applyNumberFormat="1" applyBorder="1" applyAlignment="1">
      <alignment/>
    </xf>
    <xf numFmtId="0" fontId="0" fillId="0" borderId="0" xfId="0" applyBorder="1" applyAlignment="1">
      <alignment/>
    </xf>
    <xf numFmtId="0" fontId="58" fillId="0" borderId="0" xfId="0" applyFont="1" applyBorder="1" applyAlignment="1">
      <alignment horizontal="right" vertical="center"/>
    </xf>
    <xf numFmtId="3" fontId="58" fillId="0" borderId="0" xfId="0" applyNumberFormat="1" applyFont="1" applyBorder="1" applyAlignment="1">
      <alignment horizontal="right" vertical="center"/>
    </xf>
    <xf numFmtId="2" fontId="56" fillId="0" borderId="10" xfId="0" applyNumberFormat="1" applyFont="1" applyBorder="1" applyAlignment="1">
      <alignment/>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12" fillId="0" borderId="0" xfId="57" applyFont="1">
      <alignment/>
      <protection/>
    </xf>
    <xf numFmtId="0" fontId="13" fillId="0" borderId="11" xfId="57" applyFont="1" applyFill="1" applyBorder="1" applyAlignment="1">
      <alignment vertical="center"/>
      <protection/>
    </xf>
    <xf numFmtId="0" fontId="2" fillId="0" borderId="0" xfId="57" applyAlignment="1">
      <alignment vertical="center"/>
      <protection/>
    </xf>
    <xf numFmtId="2" fontId="14" fillId="0" borderId="10" xfId="57" applyNumberFormat="1" applyFont="1" applyBorder="1" applyAlignment="1">
      <alignment horizontal="center" textRotation="255"/>
      <protection/>
    </xf>
    <xf numFmtId="2" fontId="9" fillId="0" borderId="10" xfId="57" applyNumberFormat="1" applyFont="1" applyBorder="1" applyAlignment="1">
      <alignment vertical="center" wrapText="1"/>
      <protection/>
    </xf>
    <xf numFmtId="0" fontId="9" fillId="0" borderId="10" xfId="57" applyFont="1" applyBorder="1" applyAlignment="1">
      <alignment vertical="center" wrapText="1"/>
      <protection/>
    </xf>
    <xf numFmtId="0" fontId="9" fillId="0" borderId="10" xfId="57" applyFont="1" applyBorder="1" applyAlignment="1">
      <alignment vertical="center"/>
      <protection/>
    </xf>
    <xf numFmtId="2" fontId="9" fillId="0" borderId="10" xfId="57" applyNumberFormat="1" applyFont="1" applyBorder="1" applyAlignment="1">
      <alignment horizontal="right" vertical="center" wrapText="1"/>
      <protection/>
    </xf>
    <xf numFmtId="0" fontId="2" fillId="0" borderId="10" xfId="57" applyFont="1" applyBorder="1" applyAlignment="1">
      <alignment horizontal="center" vertical="center" wrapText="1"/>
      <protection/>
    </xf>
    <xf numFmtId="2" fontId="14" fillId="0" borderId="10" xfId="57" applyNumberFormat="1" applyFont="1" applyBorder="1" applyAlignment="1">
      <alignment horizontal="center" vertical="center" wrapText="1"/>
      <protection/>
    </xf>
    <xf numFmtId="2" fontId="12" fillId="0" borderId="10" xfId="57" applyNumberFormat="1" applyFont="1" applyBorder="1" applyAlignment="1">
      <alignment vertical="center" wrapText="1"/>
      <protection/>
    </xf>
    <xf numFmtId="2" fontId="2" fillId="0" borderId="10" xfId="57" applyNumberFormat="1" applyBorder="1" applyAlignment="1">
      <alignment vertical="center"/>
      <protection/>
    </xf>
    <xf numFmtId="0" fontId="2" fillId="0" borderId="11" xfId="57" applyFont="1" applyFill="1" applyBorder="1" applyAlignment="1">
      <alignment vertical="center"/>
      <protection/>
    </xf>
    <xf numFmtId="164" fontId="9" fillId="0" borderId="10" xfId="44" applyNumberFormat="1" applyFont="1" applyFill="1" applyBorder="1" applyAlignment="1">
      <alignment vertical="center" wrapText="1"/>
    </xf>
    <xf numFmtId="164" fontId="9" fillId="0" borderId="10" xfId="44" applyNumberFormat="1" applyFont="1" applyBorder="1" applyAlignment="1">
      <alignment vertical="center" wrapText="1"/>
    </xf>
    <xf numFmtId="0" fontId="2" fillId="0" borderId="0" xfId="57" applyFill="1">
      <alignment/>
      <protection/>
    </xf>
    <xf numFmtId="0" fontId="12" fillId="0" borderId="0" xfId="57" applyFont="1" applyFill="1">
      <alignment/>
      <protection/>
    </xf>
    <xf numFmtId="2" fontId="9" fillId="0" borderId="10" xfId="57" applyNumberFormat="1" applyFont="1" applyFill="1" applyBorder="1" applyAlignment="1">
      <alignment vertical="center" wrapText="1"/>
      <protection/>
    </xf>
    <xf numFmtId="0" fontId="9" fillId="0" borderId="10" xfId="57" applyFont="1" applyFill="1" applyBorder="1" applyAlignment="1">
      <alignment vertical="center" wrapText="1"/>
      <protection/>
    </xf>
    <xf numFmtId="0" fontId="9" fillId="0" borderId="10" xfId="57" applyFont="1" applyFill="1" applyBorder="1" applyAlignment="1">
      <alignment vertical="center"/>
      <protection/>
    </xf>
    <xf numFmtId="0" fontId="2" fillId="0" borderId="10" xfId="57" applyFont="1" applyFill="1" applyBorder="1" applyAlignment="1">
      <alignment horizontal="center" vertical="center" wrapText="1"/>
      <protection/>
    </xf>
    <xf numFmtId="0" fontId="15" fillId="0" borderId="0" xfId="57" applyFont="1">
      <alignment/>
      <protection/>
    </xf>
    <xf numFmtId="0" fontId="15" fillId="0" borderId="10" xfId="57" applyFont="1" applyBorder="1">
      <alignment/>
      <protection/>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5" fillId="0" borderId="10" xfId="57" applyFont="1" applyBorder="1" applyAlignment="1">
      <alignment horizontal="center" vertical="center" wrapText="1"/>
      <protection/>
    </xf>
    <xf numFmtId="0" fontId="2" fillId="0" borderId="0" xfId="57" applyFont="1">
      <alignment/>
      <protection/>
    </xf>
    <xf numFmtId="0" fontId="2" fillId="0" borderId="0" xfId="57" applyFill="1" applyAlignment="1">
      <alignment horizontal="center"/>
      <protection/>
    </xf>
    <xf numFmtId="0" fontId="15" fillId="0" borderId="0" xfId="57" applyFont="1" applyFill="1">
      <alignment/>
      <protection/>
    </xf>
    <xf numFmtId="0" fontId="15" fillId="0" borderId="10" xfId="57" applyFont="1" applyFill="1" applyBorder="1" applyAlignment="1">
      <alignment vertical="top"/>
      <protection/>
    </xf>
    <xf numFmtId="0" fontId="15" fillId="0" borderId="10" xfId="57" applyFont="1" applyFill="1" applyBorder="1" applyAlignment="1">
      <alignment vertical="top" wrapText="1" shrinkToFit="1"/>
      <protection/>
    </xf>
    <xf numFmtId="0" fontId="59" fillId="0" borderId="10" xfId="0" applyFont="1" applyFill="1" applyBorder="1" applyAlignment="1">
      <alignment horizontal="center" vertical="top" wrapText="1"/>
    </xf>
    <xf numFmtId="0" fontId="60" fillId="0" borderId="10" xfId="0" applyFont="1" applyFill="1" applyBorder="1" applyAlignment="1">
      <alignment vertical="top" wrapText="1"/>
    </xf>
    <xf numFmtId="0" fontId="15" fillId="0" borderId="10" xfId="57" applyFont="1" applyFill="1" applyBorder="1" applyAlignment="1">
      <alignment vertical="top" wrapText="1"/>
      <protection/>
    </xf>
    <xf numFmtId="0" fontId="15" fillId="0" borderId="10" xfId="57" applyFont="1" applyFill="1" applyBorder="1" applyAlignment="1">
      <alignment horizontal="center" vertical="top"/>
      <protection/>
    </xf>
    <xf numFmtId="0" fontId="15" fillId="0" borderId="10" xfId="57" applyFont="1" applyFill="1" applyBorder="1" applyAlignment="1">
      <alignment horizontal="center" vertical="top" wrapText="1"/>
      <protection/>
    </xf>
    <xf numFmtId="0" fontId="5" fillId="0" borderId="10" xfId="57" applyFont="1" applyFill="1" applyBorder="1" applyAlignment="1">
      <alignment horizontal="center" vertical="center" wrapText="1"/>
      <protection/>
    </xf>
    <xf numFmtId="0" fontId="2" fillId="0" borderId="0" xfId="57" applyFont="1" applyFill="1">
      <alignment/>
      <protection/>
    </xf>
    <xf numFmtId="2" fontId="2" fillId="0" borderId="0" xfId="57" applyNumberFormat="1" applyBorder="1">
      <alignment/>
      <protection/>
    </xf>
    <xf numFmtId="0" fontId="58" fillId="0" borderId="0" xfId="0" applyFont="1" applyBorder="1" applyAlignment="1">
      <alignment horizontal="right" vertical="center" wrapText="1"/>
    </xf>
    <xf numFmtId="0" fontId="2" fillId="0" borderId="12" xfId="57" applyFont="1" applyBorder="1" applyAlignment="1">
      <alignment horizontal="center" vertical="center" wrapText="1"/>
      <protection/>
    </xf>
    <xf numFmtId="2" fontId="9" fillId="0" borderId="10" xfId="57" applyNumberFormat="1" applyFont="1" applyBorder="1" applyAlignment="1">
      <alignment horizontal="center" vertical="center" wrapText="1"/>
      <protection/>
    </xf>
    <xf numFmtId="0" fontId="2" fillId="0" borderId="13" xfId="57" applyFont="1" applyBorder="1" applyAlignment="1">
      <alignment horizontal="center" vertical="center" wrapText="1"/>
      <protection/>
    </xf>
    <xf numFmtId="0" fontId="2" fillId="0" borderId="14" xfId="57" applyFont="1" applyBorder="1" applyAlignment="1">
      <alignment horizontal="center" vertical="center" wrapText="1"/>
      <protection/>
    </xf>
    <xf numFmtId="0" fontId="13" fillId="0" borderId="0" xfId="57" applyFont="1">
      <alignment/>
      <protection/>
    </xf>
    <xf numFmtId="0" fontId="16" fillId="0" borderId="15" xfId="57" applyFont="1" applyBorder="1" applyAlignment="1">
      <alignment horizontal="center" vertical="center" wrapText="1"/>
      <protection/>
    </xf>
    <xf numFmtId="0" fontId="16" fillId="0" borderId="16" xfId="57" applyFont="1" applyBorder="1" applyAlignment="1">
      <alignment horizontal="center" vertical="center" wrapText="1"/>
      <protection/>
    </xf>
    <xf numFmtId="2" fontId="13" fillId="0" borderId="0" xfId="57" applyNumberFormat="1" applyFont="1">
      <alignment/>
      <protection/>
    </xf>
    <xf numFmtId="0" fontId="9" fillId="0" borderId="17" xfId="57" applyFont="1" applyBorder="1" applyAlignment="1">
      <alignment horizontal="center" vertical="center" wrapText="1"/>
      <protection/>
    </xf>
    <xf numFmtId="0" fontId="9" fillId="0" borderId="18" xfId="57" applyFont="1" applyBorder="1" applyAlignment="1">
      <alignment horizontal="center" vertical="center" wrapText="1"/>
      <protection/>
    </xf>
    <xf numFmtId="0" fontId="9" fillId="0" borderId="19" xfId="57" applyFont="1" applyBorder="1" applyAlignment="1">
      <alignment horizontal="center" vertical="center" wrapText="1"/>
      <protection/>
    </xf>
    <xf numFmtId="0" fontId="9" fillId="0" borderId="10" xfId="57" applyFont="1" applyBorder="1" applyAlignment="1">
      <alignment horizontal="center" vertical="center" wrapText="1"/>
      <protection/>
    </xf>
    <xf numFmtId="0" fontId="9" fillId="0" borderId="20" xfId="57" applyFont="1" applyBorder="1" applyAlignment="1">
      <alignment horizontal="center" vertical="center" wrapText="1"/>
      <protection/>
    </xf>
    <xf numFmtId="0" fontId="9" fillId="0" borderId="21" xfId="57" applyFont="1" applyBorder="1" applyAlignment="1">
      <alignment horizontal="center" vertical="center" wrapText="1"/>
      <protection/>
    </xf>
    <xf numFmtId="0" fontId="9" fillId="0" borderId="22" xfId="57" applyFont="1" applyBorder="1" applyAlignment="1">
      <alignment horizontal="center" vertical="center" wrapText="1"/>
      <protection/>
    </xf>
    <xf numFmtId="0" fontId="9" fillId="0" borderId="23" xfId="57" applyFont="1" applyBorder="1" applyAlignment="1">
      <alignment horizontal="center" vertical="center" wrapText="1"/>
      <protection/>
    </xf>
    <xf numFmtId="2" fontId="2" fillId="0" borderId="0" xfId="57" applyNumberFormat="1">
      <alignment/>
      <protection/>
    </xf>
    <xf numFmtId="2" fontId="4" fillId="0" borderId="10" xfId="57" applyNumberFormat="1" applyFont="1" applyBorder="1" applyAlignment="1">
      <alignment horizontal="center" vertical="center" wrapText="1"/>
      <protection/>
    </xf>
    <xf numFmtId="2" fontId="2" fillId="0" borderId="10" xfId="57" applyNumberFormat="1" applyFont="1" applyFill="1" applyBorder="1" applyAlignment="1">
      <alignment horizontal="center" vertical="center" wrapText="1"/>
      <protection/>
    </xf>
    <xf numFmtId="164" fontId="2" fillId="0" borderId="10" xfId="57" applyNumberFormat="1" applyFont="1" applyFill="1" applyBorder="1" applyAlignment="1">
      <alignment horizontal="center" vertical="center" wrapText="1"/>
      <protection/>
    </xf>
    <xf numFmtId="0" fontId="13" fillId="0" borderId="0" xfId="57" applyFont="1" applyFill="1">
      <alignment/>
      <protection/>
    </xf>
    <xf numFmtId="0" fontId="2" fillId="0" borderId="0" xfId="57" applyFill="1" applyBorder="1">
      <alignment/>
      <protection/>
    </xf>
    <xf numFmtId="0" fontId="2" fillId="0" borderId="0" xfId="57" applyFill="1" applyBorder="1" applyAlignment="1">
      <alignment horizontal="center"/>
      <protection/>
    </xf>
    <xf numFmtId="0" fontId="2" fillId="0" borderId="0" xfId="57" applyFill="1" applyBorder="1" applyAlignment="1">
      <alignment vertical="center"/>
      <protection/>
    </xf>
    <xf numFmtId="2" fontId="9" fillId="0" borderId="10" xfId="57" applyNumberFormat="1"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2" fillId="0" borderId="10" xfId="57" applyFont="1" applyFill="1" applyBorder="1" applyAlignment="1">
      <alignment horizontal="left" vertical="center" wrapText="1"/>
      <protection/>
    </xf>
    <xf numFmtId="2" fontId="2" fillId="0" borderId="0" xfId="57" applyNumberFormat="1" applyFill="1" applyBorder="1">
      <alignment/>
      <protection/>
    </xf>
    <xf numFmtId="0" fontId="9" fillId="0" borderId="10" xfId="57" applyFont="1" applyFill="1" applyBorder="1" applyAlignment="1">
      <alignment horizontal="center" vertical="center" wrapText="1"/>
      <protection/>
    </xf>
    <xf numFmtId="164" fontId="9" fillId="0" borderId="10" xfId="57" applyNumberFormat="1" applyFont="1" applyFill="1" applyBorder="1" applyAlignment="1">
      <alignment horizontal="center" vertical="center" wrapText="1"/>
      <protection/>
    </xf>
    <xf numFmtId="0" fontId="0" fillId="0" borderId="0" xfId="0" applyFill="1" applyBorder="1" applyAlignment="1">
      <alignment vertical="top"/>
    </xf>
    <xf numFmtId="0" fontId="56" fillId="0" borderId="0" xfId="0" applyFont="1" applyFill="1" applyBorder="1" applyAlignment="1">
      <alignment vertical="top"/>
    </xf>
    <xf numFmtId="0" fontId="56" fillId="0" borderId="10" xfId="0" applyFont="1" applyBorder="1" applyAlignment="1">
      <alignment vertical="top"/>
    </xf>
    <xf numFmtId="0" fontId="0" fillId="0" borderId="10" xfId="0" applyBorder="1" applyAlignment="1">
      <alignment vertical="top"/>
    </xf>
    <xf numFmtId="2" fontId="0" fillId="0" borderId="10" xfId="0" applyNumberFormat="1" applyBorder="1" applyAlignment="1">
      <alignment/>
    </xf>
    <xf numFmtId="0" fontId="0" fillId="0" borderId="10" xfId="0" applyBorder="1" applyAlignment="1">
      <alignment horizontal="center" vertical="top"/>
    </xf>
    <xf numFmtId="0" fontId="0" fillId="0" borderId="10" xfId="0" applyBorder="1" applyAlignment="1">
      <alignment vertical="top" wrapText="1"/>
    </xf>
    <xf numFmtId="0" fontId="56" fillId="0" borderId="10" xfId="0" applyFont="1" applyFill="1" applyBorder="1" applyAlignment="1">
      <alignment horizontal="center" vertical="top"/>
    </xf>
    <xf numFmtId="0" fontId="56" fillId="0" borderId="10" xfId="0" applyFont="1" applyBorder="1" applyAlignment="1">
      <alignment horizontal="center" vertical="top" wrapText="1"/>
    </xf>
    <xf numFmtId="0" fontId="56" fillId="0" borderId="10" xfId="0" applyFont="1" applyBorder="1" applyAlignment="1">
      <alignment horizontal="left" vertical="top"/>
    </xf>
    <xf numFmtId="0" fontId="56" fillId="0" borderId="10" xfId="0" applyFont="1" applyBorder="1" applyAlignment="1">
      <alignment horizontal="center" vertical="top"/>
    </xf>
    <xf numFmtId="0" fontId="0" fillId="0" borderId="0" xfId="0" applyAlignment="1">
      <alignment vertical="center"/>
    </xf>
    <xf numFmtId="0" fontId="56" fillId="0" borderId="10" xfId="0" applyFont="1" applyFill="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xf>
    <xf numFmtId="0" fontId="0" fillId="0" borderId="0" xfId="0" applyAlignment="1">
      <alignment vertical="top"/>
    </xf>
    <xf numFmtId="0" fontId="61" fillId="0" borderId="0" xfId="0" applyFont="1" applyAlignment="1">
      <alignment/>
    </xf>
    <xf numFmtId="0" fontId="62" fillId="0" borderId="0" xfId="0" applyFont="1" applyAlignment="1">
      <alignment/>
    </xf>
    <xf numFmtId="2" fontId="4" fillId="0" borderId="10" xfId="57" applyNumberFormat="1" applyFont="1" applyBorder="1" applyAlignment="1">
      <alignment horizontal="center" wrapText="1"/>
      <protection/>
    </xf>
    <xf numFmtId="2" fontId="4" fillId="0" borderId="21" xfId="57" applyNumberFormat="1" applyFont="1" applyBorder="1" applyAlignment="1">
      <alignment horizontal="center" wrapText="1"/>
      <protection/>
    </xf>
    <xf numFmtId="0" fontId="0" fillId="0" borderId="0" xfId="0" applyFill="1" applyAlignment="1">
      <alignment/>
    </xf>
    <xf numFmtId="2" fontId="56" fillId="0" borderId="10" xfId="0" applyNumberFormat="1" applyFont="1" applyBorder="1" applyAlignment="1">
      <alignment horizontal="center" vertical="center"/>
    </xf>
    <xf numFmtId="2" fontId="56" fillId="0" borderId="10" xfId="0" applyNumberFormat="1" applyFont="1" applyFill="1" applyBorder="1" applyAlignment="1">
      <alignment horizontal="center" vertical="center"/>
    </xf>
    <xf numFmtId="2" fontId="0" fillId="0" borderId="10" xfId="0" applyNumberFormat="1" applyBorder="1" applyAlignment="1">
      <alignment horizontal="center" vertical="center"/>
    </xf>
    <xf numFmtId="2" fontId="0" fillId="0" borderId="10" xfId="0" applyNumberFormat="1" applyFill="1" applyBorder="1" applyAlignment="1">
      <alignment horizontal="center" vertical="center"/>
    </xf>
    <xf numFmtId="2" fontId="0" fillId="0" borderId="10" xfId="45" applyNumberFormat="1" applyFont="1" applyFill="1" applyBorder="1" applyAlignment="1">
      <alignment horizontal="center" vertical="center"/>
    </xf>
    <xf numFmtId="2" fontId="0" fillId="0" borderId="10" xfId="45" applyNumberFormat="1" applyFont="1" applyBorder="1" applyAlignment="1">
      <alignment horizontal="center" vertical="center"/>
    </xf>
    <xf numFmtId="0" fontId="0" fillId="0" borderId="10" xfId="0" applyFill="1" applyBorder="1" applyAlignment="1">
      <alignment/>
    </xf>
    <xf numFmtId="2" fontId="56" fillId="0" borderId="10" xfId="0" applyNumberFormat="1" applyFont="1" applyBorder="1" applyAlignment="1">
      <alignment horizontal="center" vertical="center" wrapText="1"/>
    </xf>
    <xf numFmtId="2" fontId="56"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2" fontId="0" fillId="0" borderId="10" xfId="0" applyNumberFormat="1" applyFont="1" applyBorder="1" applyAlignment="1">
      <alignment horizontal="center" vertical="center" wrapText="1"/>
    </xf>
    <xf numFmtId="2" fontId="0" fillId="0" borderId="10" xfId="0" applyNumberFormat="1" applyBorder="1" applyAlignment="1">
      <alignment vertical="center"/>
    </xf>
    <xf numFmtId="2" fontId="0" fillId="0" borderId="10" xfId="0" applyNumberFormat="1" applyFill="1" applyBorder="1" applyAlignment="1">
      <alignment vertical="center"/>
    </xf>
    <xf numFmtId="2" fontId="0" fillId="0" borderId="10" xfId="45" applyNumberFormat="1" applyFont="1" applyBorder="1" applyAlignment="1">
      <alignment vertical="center"/>
    </xf>
    <xf numFmtId="2" fontId="0" fillId="0" borderId="10" xfId="0" applyNumberFormat="1" applyFont="1" applyFill="1" applyBorder="1" applyAlignment="1">
      <alignment horizontal="right"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2" fontId="56" fillId="0" borderId="10" xfId="0" applyNumberFormat="1" applyFont="1" applyBorder="1" applyAlignment="1">
      <alignment horizontal="center" vertical="top" wrapText="1"/>
    </xf>
    <xf numFmtId="2" fontId="56" fillId="0" borderId="10" xfId="0" applyNumberFormat="1" applyFont="1" applyFill="1" applyBorder="1" applyAlignment="1">
      <alignment horizontal="center" vertical="top" wrapText="1"/>
    </xf>
    <xf numFmtId="2" fontId="0" fillId="0" borderId="10" xfId="45" applyNumberFormat="1" applyFont="1" applyFill="1" applyBorder="1" applyAlignment="1">
      <alignment vertical="center"/>
    </xf>
    <xf numFmtId="2" fontId="0" fillId="0" borderId="10" xfId="0" applyNumberFormat="1" applyFont="1" applyFill="1" applyBorder="1" applyAlignment="1">
      <alignment vertical="center"/>
    </xf>
    <xf numFmtId="2" fontId="0" fillId="0" borderId="10" xfId="0" applyNumberFormat="1" applyFont="1" applyBorder="1" applyAlignment="1">
      <alignment vertical="center" wrapText="1"/>
    </xf>
    <xf numFmtId="0" fontId="0" fillId="0" borderId="10" xfId="0" applyFont="1" applyFill="1" applyBorder="1" applyAlignment="1">
      <alignment horizontal="center" vertical="top"/>
    </xf>
    <xf numFmtId="0" fontId="0" fillId="0" borderId="10" xfId="0" applyFont="1" applyBorder="1" applyAlignment="1">
      <alignment horizontal="center" vertical="top" wrapText="1"/>
    </xf>
    <xf numFmtId="2" fontId="0" fillId="0" borderId="10" xfId="0" applyNumberFormat="1" applyFont="1" applyFill="1" applyBorder="1" applyAlignment="1">
      <alignment horizontal="center" vertical="top"/>
    </xf>
    <xf numFmtId="0" fontId="0" fillId="0" borderId="10" xfId="0" applyBorder="1" applyAlignment="1">
      <alignment wrapText="1"/>
    </xf>
    <xf numFmtId="2" fontId="63" fillId="0" borderId="10" xfId="0" applyNumberFormat="1" applyFont="1" applyBorder="1" applyAlignment="1">
      <alignment/>
    </xf>
    <xf numFmtId="0" fontId="0" fillId="0" borderId="0" xfId="0" applyFont="1" applyAlignment="1">
      <alignment/>
    </xf>
    <xf numFmtId="0" fontId="0" fillId="0" borderId="10" xfId="0" applyFill="1" applyBorder="1" applyAlignment="1">
      <alignment vertical="top"/>
    </xf>
    <xf numFmtId="0" fontId="0" fillId="0" borderId="10" xfId="0"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center" vertical="top"/>
    </xf>
    <xf numFmtId="0" fontId="0" fillId="0" borderId="0" xfId="0" applyAlignment="1">
      <alignment/>
    </xf>
    <xf numFmtId="2" fontId="0" fillId="0" borderId="10" xfId="0" applyNumberFormat="1" applyBorder="1" applyAlignment="1">
      <alignment horizontal="right"/>
    </xf>
    <xf numFmtId="2" fontId="56" fillId="0" borderId="10" xfId="0" applyNumberFormat="1" applyFont="1" applyFill="1" applyBorder="1" applyAlignment="1">
      <alignment horizontal="right" vertical="top"/>
    </xf>
    <xf numFmtId="2" fontId="56" fillId="0" borderId="10" xfId="0" applyNumberFormat="1" applyFont="1" applyBorder="1" applyAlignment="1">
      <alignment horizontal="right" vertical="top" wrapText="1"/>
    </xf>
    <xf numFmtId="2" fontId="56" fillId="0" borderId="10" xfId="0" applyNumberFormat="1" applyFont="1" applyBorder="1" applyAlignment="1">
      <alignment horizontal="right" vertical="top"/>
    </xf>
    <xf numFmtId="2" fontId="0" fillId="0" borderId="10" xfId="0" applyNumberFormat="1" applyFont="1" applyFill="1" applyBorder="1" applyAlignment="1">
      <alignment horizontal="right" vertical="top"/>
    </xf>
    <xf numFmtId="2" fontId="0" fillId="0" borderId="10" xfId="0" applyNumberFormat="1" applyFont="1" applyBorder="1" applyAlignment="1">
      <alignment horizontal="right" vertical="top" wrapText="1"/>
    </xf>
    <xf numFmtId="2" fontId="0" fillId="0" borderId="10" xfId="0" applyNumberFormat="1" applyFont="1" applyBorder="1" applyAlignment="1">
      <alignment horizontal="right" vertical="top"/>
    </xf>
    <xf numFmtId="164" fontId="0" fillId="0" borderId="0" xfId="0" applyNumberFormat="1" applyAlignment="1">
      <alignment/>
    </xf>
    <xf numFmtId="43" fontId="56" fillId="0" borderId="18" xfId="0" applyNumberFormat="1" applyFont="1" applyBorder="1" applyAlignment="1">
      <alignment vertical="center"/>
    </xf>
    <xf numFmtId="0" fontId="0" fillId="0" borderId="18" xfId="0" applyFill="1" applyBorder="1" applyAlignment="1">
      <alignment vertical="top"/>
    </xf>
    <xf numFmtId="0" fontId="0" fillId="0" borderId="12" xfId="0" applyBorder="1" applyAlignment="1">
      <alignment/>
    </xf>
    <xf numFmtId="164" fontId="0" fillId="0" borderId="19" xfId="0" applyNumberFormat="1" applyFont="1" applyBorder="1" applyAlignment="1">
      <alignment vertical="center"/>
    </xf>
    <xf numFmtId="164" fontId="0" fillId="0" borderId="10" xfId="0" applyNumberFormat="1" applyFont="1" applyBorder="1" applyAlignment="1">
      <alignment vertical="center"/>
    </xf>
    <xf numFmtId="43" fontId="0" fillId="0" borderId="10" xfId="44" applyNumberFormat="1" applyFont="1" applyFill="1" applyBorder="1" applyAlignment="1">
      <alignment vertical="center"/>
    </xf>
    <xf numFmtId="0" fontId="0" fillId="0" borderId="13" xfId="0" applyBorder="1" applyAlignment="1">
      <alignment horizontal="center"/>
    </xf>
    <xf numFmtId="0" fontId="0" fillId="0" borderId="10" xfId="0" applyFont="1" applyFill="1" applyBorder="1" applyAlignment="1">
      <alignment vertical="top"/>
    </xf>
    <xf numFmtId="43" fontId="56" fillId="0" borderId="10" xfId="0" applyNumberFormat="1" applyFont="1" applyBorder="1" applyAlignment="1">
      <alignment vertical="center"/>
    </xf>
    <xf numFmtId="43" fontId="0" fillId="0" borderId="19" xfId="44" applyNumberFormat="1" applyFont="1" applyFill="1" applyBorder="1" applyAlignment="1">
      <alignment vertical="center" wrapText="1"/>
    </xf>
    <xf numFmtId="43" fontId="0" fillId="0" borderId="10" xfId="44" applyNumberFormat="1" applyFont="1" applyFill="1" applyBorder="1" applyAlignment="1">
      <alignment vertical="center" wrapText="1"/>
    </xf>
    <xf numFmtId="0" fontId="0" fillId="0" borderId="13" xfId="0" applyBorder="1" applyAlignment="1">
      <alignment horizontal="center" vertical="top"/>
    </xf>
    <xf numFmtId="0" fontId="0" fillId="0" borderId="19" xfId="0" applyFont="1" applyBorder="1" applyAlignment="1">
      <alignment vertical="center"/>
    </xf>
    <xf numFmtId="0" fontId="0" fillId="0" borderId="10" xfId="0" applyFont="1" applyFill="1" applyBorder="1" applyAlignment="1">
      <alignment vertical="center"/>
    </xf>
    <xf numFmtId="0" fontId="0" fillId="0" borderId="13" xfId="0" applyBorder="1" applyAlignment="1">
      <alignment vertical="top"/>
    </xf>
    <xf numFmtId="43" fontId="56" fillId="0" borderId="10" xfId="44" applyNumberFormat="1" applyFont="1" applyFill="1" applyBorder="1" applyAlignment="1">
      <alignment vertical="center" wrapText="1"/>
    </xf>
    <xf numFmtId="43" fontId="0" fillId="0" borderId="10" xfId="44" applyNumberFormat="1" applyFont="1" applyBorder="1" applyAlignment="1">
      <alignment vertical="center" wrapText="1"/>
    </xf>
    <xf numFmtId="0" fontId="0" fillId="0" borderId="13" xfId="0" applyFont="1" applyBorder="1" applyAlignment="1">
      <alignment horizontal="center" vertical="top"/>
    </xf>
    <xf numFmtId="0" fontId="0" fillId="0" borderId="21" xfId="0" applyFont="1" applyFill="1" applyBorder="1" applyAlignment="1">
      <alignment vertical="center"/>
    </xf>
    <xf numFmtId="0" fontId="0" fillId="0" borderId="21" xfId="0" applyFont="1" applyBorder="1" applyAlignment="1">
      <alignment vertical="center"/>
    </xf>
    <xf numFmtId="0" fontId="56" fillId="0" borderId="21" xfId="0" applyFont="1" applyBorder="1" applyAlignment="1">
      <alignment vertical="center"/>
    </xf>
    <xf numFmtId="0" fontId="0" fillId="0" borderId="21" xfId="0" applyBorder="1" applyAlignment="1">
      <alignment horizontal="left" vertical="top" wrapText="1"/>
    </xf>
    <xf numFmtId="0" fontId="0" fillId="0" borderId="24" xfId="0" applyFont="1" applyBorder="1" applyAlignment="1">
      <alignment horizontal="center" vertical="top"/>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6" xfId="0" applyFont="1" applyFill="1" applyBorder="1" applyAlignment="1">
      <alignment horizontal="center" vertical="top"/>
    </xf>
    <xf numFmtId="0" fontId="56" fillId="0" borderId="26" xfId="0" applyFont="1" applyBorder="1" applyAlignment="1">
      <alignment horizontal="center" vertical="top"/>
    </xf>
    <xf numFmtId="0" fontId="56" fillId="0" borderId="27" xfId="0" applyFont="1" applyBorder="1" applyAlignment="1">
      <alignment horizontal="center" vertical="top"/>
    </xf>
    <xf numFmtId="0" fontId="0" fillId="0" borderId="26" xfId="0" applyBorder="1" applyAlignment="1">
      <alignment vertical="top"/>
    </xf>
    <xf numFmtId="0" fontId="0" fillId="0" borderId="27" xfId="0" applyBorder="1" applyAlignment="1">
      <alignment vertical="top"/>
    </xf>
    <xf numFmtId="0" fontId="0" fillId="0" borderId="0" xfId="0" applyFont="1" applyFill="1" applyAlignment="1">
      <alignment/>
    </xf>
    <xf numFmtId="43" fontId="56" fillId="0" borderId="18"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10" xfId="0" applyNumberFormat="1" applyFont="1" applyBorder="1" applyAlignment="1">
      <alignment horizontal="center" vertical="center"/>
    </xf>
    <xf numFmtId="43" fontId="0" fillId="0" borderId="10" xfId="44" applyNumberFormat="1" applyFont="1" applyFill="1" applyBorder="1" applyAlignment="1">
      <alignment horizontal="center" vertical="center"/>
    </xf>
    <xf numFmtId="43" fontId="56" fillId="0" borderId="10" xfId="0" applyNumberFormat="1" applyFont="1" applyBorder="1" applyAlignment="1">
      <alignment horizontal="center" vertical="center"/>
    </xf>
    <xf numFmtId="43" fontId="0" fillId="0" borderId="19" xfId="44"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43" fontId="0" fillId="0" borderId="10" xfId="44" applyNumberFormat="1" applyFont="1" applyFill="1" applyBorder="1" applyAlignment="1">
      <alignment horizontal="center" vertical="center" wrapText="1"/>
    </xf>
    <xf numFmtId="43" fontId="0" fillId="0" borderId="10" xfId="44" applyNumberFormat="1" applyFont="1" applyBorder="1" applyAlignment="1">
      <alignment horizontal="center" vertical="center" wrapText="1"/>
    </xf>
    <xf numFmtId="43" fontId="56" fillId="0" borderId="21" xfId="0" applyNumberFormat="1" applyFont="1" applyBorder="1" applyAlignment="1">
      <alignment horizontal="center" vertical="top"/>
    </xf>
    <xf numFmtId="43" fontId="56" fillId="0" borderId="18" xfId="0" applyNumberFormat="1" applyFont="1" applyBorder="1" applyAlignment="1">
      <alignment/>
    </xf>
    <xf numFmtId="43" fontId="0" fillId="0" borderId="19" xfId="0" applyNumberFormat="1" applyFont="1" applyFill="1" applyBorder="1" applyAlignment="1">
      <alignment horizontal="center" vertical="top"/>
    </xf>
    <xf numFmtId="43" fontId="0" fillId="0" borderId="10" xfId="0" applyNumberFormat="1" applyFont="1" applyFill="1" applyBorder="1" applyAlignment="1">
      <alignment horizontal="center" vertical="top"/>
    </xf>
    <xf numFmtId="43" fontId="0" fillId="0" borderId="10" xfId="44" applyNumberFormat="1" applyFont="1" applyFill="1" applyBorder="1" applyAlignment="1">
      <alignment/>
    </xf>
    <xf numFmtId="43" fontId="56" fillId="0" borderId="10" xfId="44" applyNumberFormat="1" applyFont="1" applyFill="1" applyBorder="1" applyAlignment="1">
      <alignment/>
    </xf>
    <xf numFmtId="43" fontId="0" fillId="0" borderId="10" xfId="44" applyNumberFormat="1" applyFont="1" applyFill="1" applyBorder="1" applyAlignment="1">
      <alignment horizontal="center" vertical="top" wrapText="1"/>
    </xf>
    <xf numFmtId="0" fontId="0" fillId="0" borderId="28" xfId="0" applyBorder="1" applyAlignment="1">
      <alignment vertical="top"/>
    </xf>
    <xf numFmtId="0" fontId="0" fillId="0" borderId="29" xfId="0" applyBorder="1" applyAlignment="1">
      <alignment vertical="top"/>
    </xf>
    <xf numFmtId="0" fontId="61" fillId="0" borderId="0" xfId="0" applyFont="1" applyAlignment="1">
      <alignment vertical="center"/>
    </xf>
    <xf numFmtId="0" fontId="61" fillId="0" borderId="10" xfId="0" applyFont="1" applyBorder="1" applyAlignment="1">
      <alignment vertical="center"/>
    </xf>
    <xf numFmtId="0" fontId="61" fillId="0" borderId="10" xfId="0" applyFont="1" applyBorder="1" applyAlignment="1">
      <alignment horizontal="center" vertical="center"/>
    </xf>
    <xf numFmtId="0" fontId="62" fillId="0" borderId="0" xfId="0" applyFont="1" applyAlignment="1">
      <alignment vertical="center"/>
    </xf>
    <xf numFmtId="0" fontId="62" fillId="0" borderId="0" xfId="0" applyFont="1" applyAlignment="1">
      <alignment horizontal="right" vertical="center"/>
    </xf>
    <xf numFmtId="0" fontId="0" fillId="0" borderId="0" xfId="0" applyFill="1" applyAlignment="1">
      <alignment vertical="center"/>
    </xf>
    <xf numFmtId="0" fontId="61" fillId="0" borderId="0" xfId="0" applyFont="1" applyFill="1" applyAlignment="1">
      <alignment vertical="center"/>
    </xf>
    <xf numFmtId="0" fontId="61" fillId="0" borderId="10" xfId="0" applyFont="1" applyFill="1" applyBorder="1" applyAlignment="1">
      <alignment vertical="center"/>
    </xf>
    <xf numFmtId="0" fontId="61" fillId="0" borderId="10" xfId="0" applyFont="1" applyFill="1" applyBorder="1" applyAlignment="1">
      <alignment horizontal="center" vertical="center"/>
    </xf>
    <xf numFmtId="0" fontId="61" fillId="0" borderId="10" xfId="0" applyFont="1" applyFill="1" applyBorder="1" applyAlignment="1">
      <alignment vertical="center" wrapText="1"/>
    </xf>
    <xf numFmtId="0" fontId="62" fillId="0" borderId="0" xfId="0" applyFont="1" applyFill="1" applyAlignment="1">
      <alignment vertical="center"/>
    </xf>
    <xf numFmtId="0" fontId="62" fillId="0" borderId="0" xfId="0" applyFont="1" applyFill="1" applyAlignment="1">
      <alignment horizontal="right" vertical="center"/>
    </xf>
    <xf numFmtId="0" fontId="1" fillId="34" borderId="30" xfId="58" applyFont="1" applyFill="1" applyBorder="1" applyAlignment="1">
      <alignment horizontal="center"/>
      <protection/>
    </xf>
    <xf numFmtId="0" fontId="1" fillId="0" borderId="10" xfId="58" applyFont="1" applyFill="1" applyBorder="1" applyAlignment="1">
      <alignment wrapText="1"/>
      <protection/>
    </xf>
    <xf numFmtId="0" fontId="1" fillId="0" borderId="10" xfId="58" applyFont="1" applyFill="1" applyBorder="1" applyAlignment="1">
      <alignment horizontal="right" wrapText="1"/>
      <protection/>
    </xf>
    <xf numFmtId="0" fontId="6" fillId="0" borderId="10" xfId="58" applyFont="1" applyFill="1" applyBorder="1" applyAlignment="1">
      <alignment wrapText="1"/>
      <protection/>
    </xf>
    <xf numFmtId="0" fontId="6" fillId="0" borderId="10" xfId="58" applyFont="1" applyFill="1" applyBorder="1" applyAlignment="1">
      <alignment horizontal="right" wrapText="1"/>
      <protection/>
    </xf>
    <xf numFmtId="0" fontId="1" fillId="34" borderId="10" xfId="61" applyFont="1" applyFill="1" applyBorder="1" applyAlignment="1">
      <alignment horizontal="center" wrapText="1"/>
      <protection/>
    </xf>
    <xf numFmtId="0" fontId="16" fillId="0" borderId="10" xfId="57" applyFont="1" applyBorder="1" applyAlignment="1">
      <alignment horizontal="center" vertical="center" wrapText="1"/>
      <protection/>
    </xf>
    <xf numFmtId="0" fontId="16" fillId="0" borderId="10" xfId="57" applyFont="1" applyFill="1" applyBorder="1" applyAlignment="1">
      <alignment horizontal="center" vertical="center" wrapText="1"/>
      <protection/>
    </xf>
    <xf numFmtId="0" fontId="2" fillId="0" borderId="10" xfId="57" applyFill="1" applyBorder="1" applyAlignment="1">
      <alignment horizontal="center" vertical="center"/>
      <protection/>
    </xf>
    <xf numFmtId="0" fontId="3" fillId="0" borderId="10" xfId="57" applyFont="1" applyFill="1" applyBorder="1" applyAlignment="1">
      <alignment vertical="center" wrapText="1"/>
      <protection/>
    </xf>
    <xf numFmtId="0" fontId="8" fillId="0" borderId="10" xfId="57" applyFont="1" applyFill="1" applyBorder="1" applyAlignment="1">
      <alignment horizontal="center" vertical="center"/>
      <protection/>
    </xf>
    <xf numFmtId="0" fontId="4" fillId="0" borderId="10" xfId="57" applyFont="1" applyFill="1" applyBorder="1" applyAlignment="1">
      <alignment horizontal="left" vertical="center" wrapText="1"/>
      <protection/>
    </xf>
    <xf numFmtId="164" fontId="2" fillId="0" borderId="10" xfId="57" applyNumberFormat="1" applyFill="1" applyBorder="1" applyAlignment="1">
      <alignment vertical="center"/>
      <protection/>
    </xf>
    <xf numFmtId="0" fontId="3" fillId="0" borderId="10" xfId="57" applyFont="1" applyFill="1" applyBorder="1" applyAlignment="1">
      <alignment horizontal="left" vertical="center" wrapText="1"/>
      <protection/>
    </xf>
    <xf numFmtId="0" fontId="2" fillId="0" borderId="10" xfId="57" applyFill="1" applyBorder="1" applyAlignment="1">
      <alignment vertical="center"/>
      <protection/>
    </xf>
    <xf numFmtId="0" fontId="17" fillId="0" borderId="10" xfId="57" applyFont="1" applyFill="1" applyBorder="1" applyAlignment="1">
      <alignment horizontal="left" vertical="center" wrapText="1"/>
      <protection/>
    </xf>
    <xf numFmtId="2" fontId="2" fillId="0" borderId="10" xfId="57" applyNumberFormat="1" applyFill="1" applyBorder="1" applyAlignment="1">
      <alignment vertical="center"/>
      <protection/>
    </xf>
    <xf numFmtId="2" fontId="2" fillId="0" borderId="10" xfId="57" applyNumberFormat="1" applyFill="1" applyBorder="1" applyAlignment="1">
      <alignment horizontal="center" vertical="center"/>
      <protection/>
    </xf>
    <xf numFmtId="2" fontId="17" fillId="0" borderId="10" xfId="57" applyNumberFormat="1" applyFont="1" applyFill="1" applyBorder="1" applyAlignment="1">
      <alignment horizontal="left" vertical="center" wrapText="1"/>
      <protection/>
    </xf>
    <xf numFmtId="2" fontId="4" fillId="0" borderId="10" xfId="57" applyNumberFormat="1" applyFont="1" applyFill="1" applyBorder="1" applyAlignment="1">
      <alignment horizontal="left" vertical="center" wrapText="1"/>
      <protection/>
    </xf>
    <xf numFmtId="0" fontId="10" fillId="0" borderId="31" xfId="57" applyFont="1" applyFill="1" applyBorder="1" applyAlignment="1">
      <alignment horizontal="right"/>
      <protection/>
    </xf>
    <xf numFmtId="0" fontId="10" fillId="0" borderId="32" xfId="57" applyFont="1" applyFill="1" applyBorder="1" applyAlignment="1">
      <alignment horizontal="right"/>
      <protection/>
    </xf>
    <xf numFmtId="0" fontId="10" fillId="0" borderId="33" xfId="57" applyFont="1" applyFill="1" applyBorder="1" applyAlignment="1">
      <alignment horizontal="right"/>
      <protection/>
    </xf>
    <xf numFmtId="0" fontId="61" fillId="0" borderId="0" xfId="0" applyFont="1" applyBorder="1" applyAlignment="1">
      <alignment/>
    </xf>
    <xf numFmtId="0" fontId="61" fillId="0" borderId="0" xfId="0" applyFont="1" applyFill="1" applyBorder="1" applyAlignment="1">
      <alignment/>
    </xf>
    <xf numFmtId="0" fontId="56" fillId="0" borderId="21" xfId="0" applyFont="1" applyBorder="1" applyAlignment="1">
      <alignment horizontal="center" vertical="center"/>
    </xf>
    <xf numFmtId="0" fontId="56" fillId="0" borderId="21" xfId="0" applyFont="1" applyBorder="1" applyAlignment="1">
      <alignment horizontal="center" vertical="center" wrapText="1"/>
    </xf>
    <xf numFmtId="0" fontId="56" fillId="0" borderId="21" xfId="0" applyFont="1" applyFill="1" applyBorder="1" applyAlignment="1">
      <alignment horizontal="center" vertical="center"/>
    </xf>
    <xf numFmtId="0" fontId="5" fillId="0" borderId="0" xfId="57" applyFont="1" applyAlignment="1">
      <alignment horizontal="center" vertical="center"/>
      <protection/>
    </xf>
    <xf numFmtId="0" fontId="64" fillId="0" borderId="0" xfId="0" applyFont="1" applyAlignment="1">
      <alignment horizontal="center"/>
    </xf>
    <xf numFmtId="0" fontId="65" fillId="0" borderId="0" xfId="0" applyFont="1" applyAlignment="1">
      <alignment horizontal="center"/>
    </xf>
    <xf numFmtId="0" fontId="65" fillId="0" borderId="0" xfId="0" applyFont="1" applyAlignment="1">
      <alignment horizontal="center"/>
    </xf>
    <xf numFmtId="0" fontId="64" fillId="0" borderId="0" xfId="0" applyFont="1" applyAlignment="1">
      <alignment horizontal="center"/>
    </xf>
    <xf numFmtId="0" fontId="9" fillId="0" borderId="0" xfId="57" applyFont="1" applyAlignment="1">
      <alignment horizontal="left" vertical="top" wrapText="1"/>
      <protection/>
    </xf>
    <xf numFmtId="0" fontId="5" fillId="0" borderId="0" xfId="57" applyFont="1" applyAlignment="1">
      <alignment horizontal="center" vertical="center"/>
      <protection/>
    </xf>
    <xf numFmtId="0" fontId="10" fillId="0" borderId="0" xfId="57" applyFont="1" applyAlignment="1">
      <alignment horizontal="center" vertical="center"/>
      <protection/>
    </xf>
    <xf numFmtId="0" fontId="5" fillId="0" borderId="0" xfId="57" applyFont="1" applyAlignment="1">
      <alignment horizontal="left" vertical="top" wrapText="1"/>
      <protection/>
    </xf>
    <xf numFmtId="0" fontId="5" fillId="0" borderId="0" xfId="57" applyFont="1" applyAlignment="1">
      <alignment horizontal="center" vertical="top" wrapText="1"/>
      <protection/>
    </xf>
    <xf numFmtId="0" fontId="9" fillId="0" borderId="0" xfId="57" applyFont="1" applyAlignment="1">
      <alignment horizontal="right" vertical="top" wrapText="1"/>
      <protection/>
    </xf>
    <xf numFmtId="0" fontId="5" fillId="0" borderId="0" xfId="57" applyFont="1" applyAlignment="1">
      <alignment horizontal="left" vertical="top"/>
      <protection/>
    </xf>
    <xf numFmtId="0" fontId="9" fillId="0" borderId="0" xfId="57" applyFont="1" applyAlignment="1">
      <alignment horizontal="center" vertical="top" wrapText="1"/>
      <protection/>
    </xf>
    <xf numFmtId="0" fontId="56" fillId="0" borderId="34" xfId="0" applyFont="1" applyBorder="1" applyAlignment="1">
      <alignment horizontal="left"/>
    </xf>
    <xf numFmtId="0" fontId="56" fillId="0" borderId="10" xfId="0" applyFont="1" applyBorder="1" applyAlignment="1">
      <alignment horizontal="center"/>
    </xf>
    <xf numFmtId="0" fontId="56" fillId="0" borderId="0" xfId="0" applyFont="1" applyAlignment="1">
      <alignment horizontal="center"/>
    </xf>
    <xf numFmtId="0" fontId="62" fillId="0" borderId="0" xfId="0" applyFont="1" applyAlignment="1">
      <alignment horizontal="center" vertical="center"/>
    </xf>
    <xf numFmtId="0" fontId="56" fillId="0" borderId="0" xfId="0" applyFont="1" applyAlignment="1">
      <alignment horizontal="left" vertical="center" wrapText="1"/>
    </xf>
    <xf numFmtId="0" fontId="8" fillId="0" borderId="10" xfId="57" applyFont="1" applyBorder="1" applyAlignment="1">
      <alignment horizontal="center" vertical="center" wrapText="1"/>
      <protection/>
    </xf>
    <xf numFmtId="0" fontId="5" fillId="0" borderId="0" xfId="57" applyFont="1" applyAlignment="1">
      <alignment horizontal="right"/>
      <protection/>
    </xf>
    <xf numFmtId="0" fontId="5" fillId="0" borderId="0" xfId="57" applyFont="1" applyAlignment="1">
      <alignment horizontal="left"/>
      <protection/>
    </xf>
    <xf numFmtId="0" fontId="9" fillId="0" borderId="0" xfId="57" applyFont="1" applyAlignment="1">
      <alignment horizontal="right"/>
      <protection/>
    </xf>
    <xf numFmtId="0" fontId="9" fillId="0" borderId="35" xfId="57" applyFont="1" applyBorder="1" applyAlignment="1">
      <alignment horizontal="center" vertical="center" wrapText="1"/>
      <protection/>
    </xf>
    <xf numFmtId="0" fontId="9" fillId="0" borderId="36" xfId="57" applyFont="1" applyBorder="1" applyAlignment="1">
      <alignment horizontal="center" vertical="center" wrapText="1"/>
      <protection/>
    </xf>
    <xf numFmtId="0" fontId="9" fillId="0" borderId="37" xfId="57" applyFont="1" applyBorder="1" applyAlignment="1">
      <alignment horizontal="center" vertical="center" wrapText="1"/>
      <protection/>
    </xf>
    <xf numFmtId="0" fontId="9" fillId="0" borderId="38" xfId="57" applyFont="1" applyBorder="1" applyAlignment="1">
      <alignment horizontal="center" vertical="center" wrapText="1"/>
      <protection/>
    </xf>
    <xf numFmtId="0" fontId="9" fillId="0" borderId="0" xfId="57" applyFont="1" applyBorder="1" applyAlignment="1">
      <alignment horizontal="center" vertical="center" wrapText="1"/>
      <protection/>
    </xf>
    <xf numFmtId="0" fontId="9" fillId="0" borderId="39" xfId="57" applyFont="1" applyBorder="1" applyAlignment="1">
      <alignment horizontal="center" vertical="center" wrapText="1"/>
      <protection/>
    </xf>
    <xf numFmtId="0" fontId="9" fillId="0" borderId="40" xfId="57" applyFont="1" applyBorder="1" applyAlignment="1">
      <alignment horizontal="center" vertical="center" wrapText="1"/>
      <protection/>
    </xf>
    <xf numFmtId="0" fontId="9" fillId="0" borderId="34" xfId="57" applyFont="1" applyBorder="1" applyAlignment="1">
      <alignment horizontal="center" vertical="center" wrapText="1"/>
      <protection/>
    </xf>
    <xf numFmtId="0" fontId="9" fillId="0" borderId="41" xfId="57" applyFont="1" applyBorder="1" applyAlignment="1">
      <alignment horizontal="center" vertical="center" wrapText="1"/>
      <protection/>
    </xf>
    <xf numFmtId="0" fontId="8" fillId="0" borderId="0" xfId="57" applyFont="1" applyAlignment="1">
      <alignment horizontal="center" vertical="top" wrapText="1"/>
      <protection/>
    </xf>
    <xf numFmtId="0" fontId="5" fillId="0" borderId="0" xfId="57" applyFont="1" applyBorder="1" applyAlignment="1">
      <alignment horizontal="left"/>
      <protection/>
    </xf>
    <xf numFmtId="0" fontId="9" fillId="0" borderId="0" xfId="57" applyFont="1" applyBorder="1" applyAlignment="1">
      <alignment horizontal="right"/>
      <protection/>
    </xf>
    <xf numFmtId="0" fontId="8" fillId="0" borderId="10" xfId="57" applyFont="1" applyFill="1" applyBorder="1" applyAlignment="1">
      <alignment horizontal="center" vertical="center" wrapText="1"/>
      <protection/>
    </xf>
    <xf numFmtId="0" fontId="5" fillId="0" borderId="0" xfId="57" applyFont="1" applyFill="1" applyAlignment="1">
      <alignment horizontal="right"/>
      <protection/>
    </xf>
    <xf numFmtId="0" fontId="5" fillId="0" borderId="0" xfId="57" applyFont="1" applyFill="1" applyAlignment="1">
      <alignment horizontal="center" vertical="top" wrapText="1"/>
      <protection/>
    </xf>
    <xf numFmtId="0" fontId="5" fillId="0" borderId="0" xfId="57" applyFont="1" applyFill="1" applyAlignment="1">
      <alignment horizontal="left" vertical="center"/>
      <protection/>
    </xf>
    <xf numFmtId="0" fontId="9" fillId="0" borderId="0" xfId="57" applyFont="1" applyFill="1" applyBorder="1" applyAlignment="1">
      <alignment horizontal="right" vertical="center"/>
      <protection/>
    </xf>
    <xf numFmtId="0" fontId="5" fillId="0" borderId="0" xfId="57" applyFont="1" applyFill="1" applyAlignment="1">
      <alignment horizontal="left"/>
      <protection/>
    </xf>
    <xf numFmtId="0" fontId="9" fillId="0" borderId="0" xfId="57" applyFont="1" applyFill="1" applyAlignment="1">
      <alignment horizontal="right"/>
      <protection/>
    </xf>
    <xf numFmtId="0" fontId="15" fillId="0" borderId="42" xfId="57" applyFont="1" applyBorder="1" applyAlignment="1">
      <alignment horizontal="center" vertical="center"/>
      <protection/>
    </xf>
    <xf numFmtId="0" fontId="15" fillId="0" borderId="11" xfId="57" applyFont="1" applyBorder="1" applyAlignment="1">
      <alignment horizontal="center" vertical="center"/>
      <protection/>
    </xf>
    <xf numFmtId="0" fontId="15" fillId="0" borderId="21" xfId="57" applyFont="1" applyBorder="1" applyAlignment="1">
      <alignment horizontal="center" vertical="center"/>
      <protection/>
    </xf>
    <xf numFmtId="0" fontId="5" fillId="0" borderId="0" xfId="57" applyFont="1" applyAlignment="1">
      <alignment horizontal="right" vertical="center"/>
      <protection/>
    </xf>
    <xf numFmtId="0" fontId="4" fillId="0" borderId="42" xfId="57" applyFont="1" applyBorder="1" applyAlignment="1">
      <alignment horizontal="center" vertical="center" wrapText="1"/>
      <protection/>
    </xf>
    <xf numFmtId="0" fontId="4" fillId="0" borderId="21" xfId="57" applyFont="1" applyBorder="1" applyAlignment="1">
      <alignment horizontal="center" vertical="center" wrapText="1"/>
      <protection/>
    </xf>
    <xf numFmtId="0" fontId="5" fillId="0" borderId="0" xfId="57" applyFont="1" applyFill="1" applyAlignment="1">
      <alignment horizontal="right" vertical="center"/>
      <protection/>
    </xf>
    <xf numFmtId="0" fontId="5" fillId="0" borderId="0" xfId="57" applyFont="1" applyFill="1" applyAlignment="1">
      <alignment horizontal="center" vertical="center"/>
      <protection/>
    </xf>
    <xf numFmtId="0" fontId="4" fillId="0" borderId="42" xfId="57" applyFont="1" applyFill="1" applyBorder="1" applyAlignment="1">
      <alignment horizontal="center" vertical="center" wrapText="1"/>
      <protection/>
    </xf>
    <xf numFmtId="0" fontId="4" fillId="0" borderId="21" xfId="57" applyFont="1" applyFill="1" applyBorder="1" applyAlignment="1">
      <alignment horizontal="center" vertical="center" wrapText="1"/>
      <protection/>
    </xf>
    <xf numFmtId="0" fontId="16" fillId="0" borderId="31" xfId="57" applyFont="1" applyBorder="1" applyAlignment="1">
      <alignment horizontal="center" vertical="center" wrapText="1"/>
      <protection/>
    </xf>
    <xf numFmtId="0" fontId="16" fillId="0" borderId="33" xfId="57" applyFont="1" applyBorder="1" applyAlignment="1">
      <alignment horizontal="center" vertical="center" wrapText="1"/>
      <protection/>
    </xf>
    <xf numFmtId="0" fontId="16" fillId="0" borderId="42" xfId="57" applyFont="1" applyBorder="1" applyAlignment="1">
      <alignment horizontal="center" vertical="center" wrapText="1"/>
      <protection/>
    </xf>
    <xf numFmtId="0" fontId="16" fillId="0" borderId="21" xfId="57" applyFont="1" applyBorder="1" applyAlignment="1">
      <alignment horizontal="center" vertical="center" wrapText="1"/>
      <protection/>
    </xf>
    <xf numFmtId="0" fontId="16" fillId="0" borderId="43" xfId="57" applyFont="1" applyBorder="1" applyAlignment="1">
      <alignment horizontal="center" vertical="center" wrapText="1"/>
      <protection/>
    </xf>
    <xf numFmtId="0" fontId="16" fillId="0" borderId="44" xfId="57" applyFont="1" applyBorder="1" applyAlignment="1">
      <alignment horizontal="center" vertical="center" wrapText="1"/>
      <protection/>
    </xf>
    <xf numFmtId="0" fontId="16" fillId="0" borderId="45" xfId="57" applyFont="1" applyBorder="1" applyAlignment="1">
      <alignment horizontal="center" vertical="center" wrapText="1"/>
      <protection/>
    </xf>
    <xf numFmtId="0" fontId="16" fillId="0" borderId="10" xfId="57" applyFont="1" applyBorder="1" applyAlignment="1">
      <alignment horizontal="center" vertical="center" wrapText="1"/>
      <protection/>
    </xf>
    <xf numFmtId="0" fontId="16" fillId="0" borderId="46" xfId="57" applyFont="1" applyBorder="1" applyAlignment="1">
      <alignment horizontal="center" vertical="center" wrapText="1"/>
      <protection/>
    </xf>
    <xf numFmtId="0" fontId="16" fillId="0" borderId="47" xfId="57" applyFont="1" applyBorder="1" applyAlignment="1">
      <alignment horizontal="center" vertical="center" wrapText="1"/>
      <protection/>
    </xf>
    <xf numFmtId="0" fontId="16" fillId="0" borderId="48" xfId="57" applyFont="1" applyBorder="1" applyAlignment="1">
      <alignment horizontal="center" vertical="center" wrapText="1"/>
      <protection/>
    </xf>
    <xf numFmtId="0" fontId="16" fillId="0" borderId="49" xfId="57" applyFont="1" applyBorder="1" applyAlignment="1">
      <alignment horizontal="center" vertical="center" wrapText="1"/>
      <protection/>
    </xf>
    <xf numFmtId="0" fontId="16" fillId="0" borderId="50" xfId="57" applyFont="1" applyBorder="1" applyAlignment="1">
      <alignment horizontal="center" vertical="center" wrapText="1"/>
      <protection/>
    </xf>
    <xf numFmtId="0" fontId="16" fillId="0" borderId="51" xfId="57" applyFont="1" applyBorder="1" applyAlignment="1">
      <alignment horizontal="center" vertical="center" wrapText="1"/>
      <protection/>
    </xf>
    <xf numFmtId="0" fontId="16" fillId="0" borderId="52" xfId="57" applyFont="1" applyBorder="1" applyAlignment="1">
      <alignment horizontal="center" vertical="center" wrapText="1"/>
      <protection/>
    </xf>
    <xf numFmtId="0" fontId="16" fillId="0" borderId="53" xfId="57" applyFont="1" applyBorder="1" applyAlignment="1">
      <alignment horizontal="center" vertical="center" wrapText="1"/>
      <protection/>
    </xf>
    <xf numFmtId="0" fontId="16" fillId="0" borderId="15" xfId="57" applyFont="1" applyBorder="1" applyAlignment="1">
      <alignment horizontal="center" vertical="center" wrapText="1"/>
      <protection/>
    </xf>
    <xf numFmtId="0" fontId="5" fillId="0" borderId="0" xfId="57" applyFont="1" applyAlignment="1">
      <alignment horizontal="center"/>
      <protection/>
    </xf>
    <xf numFmtId="0" fontId="9" fillId="0" borderId="0" xfId="57" applyFont="1" applyBorder="1" applyAlignment="1">
      <alignment horizontal="left"/>
      <protection/>
    </xf>
    <xf numFmtId="0" fontId="16" fillId="0" borderId="10" xfId="57" applyFont="1" applyFill="1" applyBorder="1" applyAlignment="1">
      <alignment horizontal="center" vertical="center" wrapText="1"/>
      <protection/>
    </xf>
    <xf numFmtId="0" fontId="5" fillId="0" borderId="0" xfId="57" applyFont="1" applyFill="1" applyAlignment="1">
      <alignment horizontal="center"/>
      <protection/>
    </xf>
    <xf numFmtId="0" fontId="9" fillId="0" borderId="0" xfId="57" applyFont="1" applyFill="1" applyBorder="1" applyAlignment="1">
      <alignment horizontal="right"/>
      <protection/>
    </xf>
    <xf numFmtId="0" fontId="9" fillId="0" borderId="0" xfId="57" applyFont="1" applyFill="1" applyBorder="1" applyAlignment="1">
      <alignment horizontal="left"/>
      <protection/>
    </xf>
    <xf numFmtId="0" fontId="2" fillId="0" borderId="10" xfId="57" applyFont="1" applyFill="1" applyBorder="1" applyAlignment="1">
      <alignment horizontal="center" vertical="center"/>
      <protection/>
    </xf>
    <xf numFmtId="0" fontId="16" fillId="0" borderId="0" xfId="57" applyFont="1" applyFill="1" applyBorder="1" applyAlignment="1">
      <alignment horizontal="left" vertical="center"/>
      <protection/>
    </xf>
    <xf numFmtId="0" fontId="10" fillId="0" borderId="0" xfId="57" applyFont="1" applyFill="1" applyBorder="1" applyAlignment="1">
      <alignment horizontal="right"/>
      <protection/>
    </xf>
    <xf numFmtId="0" fontId="10" fillId="0" borderId="13"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8" fillId="0" borderId="54" xfId="57" applyFont="1" applyFill="1" applyBorder="1" applyAlignment="1">
      <alignment horizontal="center" vertical="center" wrapText="1"/>
      <protection/>
    </xf>
    <xf numFmtId="0" fontId="18" fillId="0" borderId="42" xfId="57" applyFont="1" applyFill="1" applyBorder="1" applyAlignment="1">
      <alignment horizontal="center" vertical="center" wrapText="1"/>
      <protection/>
    </xf>
    <xf numFmtId="0" fontId="10" fillId="0" borderId="10"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18" fillId="0" borderId="10" xfId="57" applyFont="1" applyFill="1" applyBorder="1" applyAlignment="1">
      <alignment horizontal="center" vertical="center" wrapText="1"/>
      <protection/>
    </xf>
    <xf numFmtId="0" fontId="10" fillId="0" borderId="54" xfId="57" applyFont="1" applyFill="1" applyBorder="1" applyAlignment="1">
      <alignment horizontal="center" vertical="center"/>
      <protection/>
    </xf>
    <xf numFmtId="0" fontId="10" fillId="0" borderId="42" xfId="57" applyFont="1" applyFill="1" applyBorder="1" applyAlignment="1">
      <alignment horizontal="center" vertical="center"/>
      <protection/>
    </xf>
    <xf numFmtId="0" fontId="10" fillId="0" borderId="49" xfId="57" applyFont="1" applyFill="1" applyBorder="1" applyAlignment="1">
      <alignment horizontal="center" vertical="center" wrapText="1"/>
      <protection/>
    </xf>
    <xf numFmtId="0" fontId="10" fillId="0" borderId="0" xfId="57" applyFont="1" applyFill="1" applyBorder="1" applyAlignment="1">
      <alignment horizontal="center" vertical="center" wrapText="1"/>
      <protection/>
    </xf>
    <xf numFmtId="0" fontId="10" fillId="0" borderId="53" xfId="57" applyFont="1" applyFill="1" applyBorder="1" applyAlignment="1">
      <alignment horizontal="center" vertical="center" wrapText="1"/>
      <protection/>
    </xf>
    <xf numFmtId="0" fontId="62" fillId="0" borderId="0" xfId="0" applyFont="1" applyBorder="1" applyAlignment="1">
      <alignment horizontal="center"/>
    </xf>
    <xf numFmtId="0" fontId="56" fillId="0" borderId="10" xfId="0" applyFont="1" applyBorder="1" applyAlignment="1">
      <alignment horizontal="right" vertical="top"/>
    </xf>
    <xf numFmtId="0" fontId="56" fillId="0" borderId="10" xfId="0" applyFont="1" applyBorder="1" applyAlignment="1">
      <alignment horizontal="center" vertical="top"/>
    </xf>
    <xf numFmtId="0" fontId="0" fillId="0" borderId="0" xfId="0" applyBorder="1" applyAlignment="1">
      <alignment horizontal="center"/>
    </xf>
    <xf numFmtId="0" fontId="56" fillId="0" borderId="35" xfId="0" applyFont="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56" fillId="0" borderId="0"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34" xfId="0" applyFont="1" applyBorder="1" applyAlignment="1">
      <alignment horizontal="center" vertical="center"/>
    </xf>
    <xf numFmtId="0" fontId="56" fillId="0" borderId="41" xfId="0" applyFont="1" applyBorder="1" applyAlignment="1">
      <alignment horizontal="center" vertical="center"/>
    </xf>
    <xf numFmtId="0" fontId="62" fillId="0" borderId="35" xfId="0" applyFont="1" applyBorder="1" applyAlignment="1">
      <alignment horizontal="center"/>
    </xf>
    <xf numFmtId="0" fontId="62" fillId="0" borderId="36" xfId="0" applyFont="1" applyBorder="1" applyAlignment="1">
      <alignment horizontal="center"/>
    </xf>
    <xf numFmtId="0" fontId="62" fillId="0" borderId="37" xfId="0" applyFont="1" applyBorder="1" applyAlignment="1">
      <alignment horizontal="center"/>
    </xf>
    <xf numFmtId="0" fontId="56" fillId="0" borderId="31" xfId="0" applyFont="1" applyBorder="1" applyAlignment="1">
      <alignment horizontal="center" vertical="top"/>
    </xf>
    <xf numFmtId="0" fontId="56" fillId="0" borderId="32" xfId="0" applyFont="1" applyBorder="1" applyAlignment="1">
      <alignment horizontal="center" vertical="top"/>
    </xf>
    <xf numFmtId="0" fontId="56" fillId="0" borderId="33" xfId="0" applyFont="1" applyBorder="1" applyAlignment="1">
      <alignment horizontal="center" vertical="top"/>
    </xf>
    <xf numFmtId="0" fontId="62" fillId="0" borderId="50" xfId="0" applyFont="1" applyBorder="1" applyAlignment="1">
      <alignment horizontal="center"/>
    </xf>
    <xf numFmtId="0" fontId="62" fillId="0" borderId="51" xfId="0" applyFont="1" applyBorder="1" applyAlignment="1">
      <alignment horizontal="center"/>
    </xf>
    <xf numFmtId="0" fontId="62" fillId="0" borderId="52" xfId="0" applyFont="1" applyBorder="1" applyAlignment="1">
      <alignment horizontal="center"/>
    </xf>
    <xf numFmtId="0" fontId="62" fillId="0" borderId="46" xfId="0" applyFont="1" applyBorder="1" applyAlignment="1">
      <alignment horizontal="center"/>
    </xf>
    <xf numFmtId="0" fontId="62" fillId="0" borderId="47" xfId="0" applyFont="1" applyBorder="1" applyAlignment="1">
      <alignment horizontal="center"/>
    </xf>
    <xf numFmtId="0" fontId="62" fillId="0" borderId="48" xfId="0" applyFont="1" applyBorder="1" applyAlignment="1">
      <alignment horizontal="center"/>
    </xf>
    <xf numFmtId="0" fontId="56" fillId="0" borderId="28" xfId="0" applyFont="1" applyBorder="1" applyAlignment="1">
      <alignment horizontal="center" vertical="top"/>
    </xf>
    <xf numFmtId="0" fontId="56" fillId="0" borderId="55" xfId="0" applyFont="1" applyBorder="1" applyAlignment="1">
      <alignment horizontal="center" vertical="top"/>
    </xf>
    <xf numFmtId="0" fontId="56" fillId="0" borderId="26" xfId="0" applyFont="1" applyBorder="1" applyAlignment="1">
      <alignment horizontal="center" vertical="top"/>
    </xf>
    <xf numFmtId="0" fontId="56" fillId="0" borderId="25" xfId="0" applyFont="1" applyBorder="1" applyAlignment="1">
      <alignment horizontal="center" vertical="top"/>
    </xf>
    <xf numFmtId="0" fontId="2" fillId="0" borderId="0" xfId="57" applyBorder="1" applyAlignment="1">
      <alignment horizontal="center"/>
      <protection/>
    </xf>
    <xf numFmtId="1" fontId="2" fillId="0" borderId="0" xfId="57" applyNumberFormat="1" applyBorder="1">
      <alignment/>
      <protection/>
    </xf>
    <xf numFmtId="1" fontId="2" fillId="33" borderId="0" xfId="57" applyNumberFormat="1" applyFont="1" applyFill="1" applyBorder="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Sheet1" xfId="58"/>
    <cellStyle name="Normal_Sheet2" xfId="59"/>
    <cellStyle name="Normal_Sheet3" xfId="60"/>
    <cellStyle name="Normal_Sheet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zoomScalePageLayoutView="0" workbookViewId="0" topLeftCell="A1">
      <selection activeCell="B8" sqref="B8:H8"/>
    </sheetView>
  </sheetViews>
  <sheetFormatPr defaultColWidth="9.140625" defaultRowHeight="15"/>
  <cols>
    <col min="1" max="1" width="4.57421875" style="0" customWidth="1"/>
    <col min="2" max="2" width="6.7109375" style="0" customWidth="1"/>
    <col min="3" max="3" width="36.421875" style="0" customWidth="1"/>
    <col min="4" max="4" width="15.00390625" style="0" customWidth="1"/>
  </cols>
  <sheetData>
    <row r="1" spans="1:8" ht="21">
      <c r="A1" s="283" t="s">
        <v>691</v>
      </c>
      <c r="B1" s="284"/>
      <c r="C1" s="284"/>
      <c r="D1" s="284"/>
      <c r="E1" s="284"/>
      <c r="F1" s="284"/>
      <c r="G1" s="284"/>
      <c r="H1" s="284"/>
    </row>
    <row r="2" spans="1:8" ht="21">
      <c r="A2" s="282"/>
      <c r="B2" s="281"/>
      <c r="C2" s="281"/>
      <c r="D2" s="281"/>
      <c r="E2" s="281"/>
      <c r="F2" s="281"/>
      <c r="G2" s="281"/>
      <c r="H2" s="281"/>
    </row>
    <row r="3" spans="1:8" ht="18">
      <c r="A3" s="286" t="s">
        <v>60</v>
      </c>
      <c r="B3" s="287"/>
      <c r="C3" s="287"/>
      <c r="D3" s="287"/>
      <c r="E3" s="287"/>
      <c r="F3" s="287"/>
      <c r="G3" s="287"/>
      <c r="H3" s="287"/>
    </row>
    <row r="4" spans="1:8" ht="15.75">
      <c r="A4" s="286" t="s">
        <v>59</v>
      </c>
      <c r="B4" s="286"/>
      <c r="C4" s="286"/>
      <c r="D4" s="286"/>
      <c r="E4" s="286"/>
      <c r="F4" s="286"/>
      <c r="G4" s="286"/>
      <c r="H4" s="286"/>
    </row>
    <row r="5" spans="1:8" ht="15.75">
      <c r="A5" s="286" t="s">
        <v>58</v>
      </c>
      <c r="B5" s="286"/>
      <c r="C5" s="286"/>
      <c r="D5" s="286"/>
      <c r="E5" s="286"/>
      <c r="F5" s="286"/>
      <c r="G5" s="286"/>
      <c r="H5" s="286"/>
    </row>
    <row r="6" spans="1:8" ht="15.75">
      <c r="A6" s="280"/>
      <c r="B6" s="280"/>
      <c r="C6" s="280"/>
      <c r="D6" s="280"/>
      <c r="E6" s="280"/>
      <c r="F6" s="280"/>
      <c r="G6" s="280"/>
      <c r="H6" s="280"/>
    </row>
    <row r="7" spans="1:8" ht="15">
      <c r="A7" s="16">
        <v>1</v>
      </c>
      <c r="B7" s="285" t="s">
        <v>57</v>
      </c>
      <c r="C7" s="285"/>
      <c r="D7" s="285"/>
      <c r="E7" s="285"/>
      <c r="F7" s="285"/>
      <c r="G7" s="285"/>
      <c r="H7" s="285"/>
    </row>
    <row r="8" spans="1:8" ht="18.75" customHeight="1">
      <c r="A8" s="16"/>
      <c r="B8" s="285" t="s">
        <v>56</v>
      </c>
      <c r="C8" s="285"/>
      <c r="D8" s="285"/>
      <c r="E8" s="285"/>
      <c r="F8" s="285"/>
      <c r="G8" s="285"/>
      <c r="H8" s="285"/>
    </row>
    <row r="9" spans="1:8" ht="34.5" customHeight="1">
      <c r="A9" s="16"/>
      <c r="B9" s="285" t="s">
        <v>55</v>
      </c>
      <c r="C9" s="285"/>
      <c r="D9" s="285"/>
      <c r="E9" s="285"/>
      <c r="F9" s="285"/>
      <c r="G9" s="285"/>
      <c r="H9" s="285"/>
    </row>
    <row r="10" spans="1:8" ht="31.5" customHeight="1">
      <c r="A10" s="16"/>
      <c r="B10" s="285" t="s">
        <v>54</v>
      </c>
      <c r="C10" s="285"/>
      <c r="D10" s="285"/>
      <c r="E10" s="285"/>
      <c r="F10" s="285"/>
      <c r="G10" s="285"/>
      <c r="H10" s="285"/>
    </row>
    <row r="11" spans="1:8" ht="15">
      <c r="A11" s="16">
        <v>2</v>
      </c>
      <c r="B11" s="285" t="s">
        <v>53</v>
      </c>
      <c r="C11" s="285"/>
      <c r="D11" s="285"/>
      <c r="E11" s="285"/>
      <c r="F11" s="285"/>
      <c r="G11" s="285"/>
      <c r="H11" s="285"/>
    </row>
    <row r="12" spans="1:8" ht="15">
      <c r="A12" s="16">
        <v>3</v>
      </c>
      <c r="B12" s="285" t="s">
        <v>52</v>
      </c>
      <c r="C12" s="285"/>
      <c r="D12" s="285"/>
      <c r="E12" s="285"/>
      <c r="F12" s="285"/>
      <c r="G12" s="285"/>
      <c r="H12" s="285"/>
    </row>
    <row r="13" spans="1:8" ht="30">
      <c r="A13" s="16"/>
      <c r="B13" s="18" t="s">
        <v>49</v>
      </c>
      <c r="C13" s="18" t="s">
        <v>48</v>
      </c>
      <c r="D13" s="18" t="s">
        <v>51</v>
      </c>
      <c r="E13" s="13"/>
      <c r="F13" s="13"/>
      <c r="G13" s="13"/>
      <c r="H13" s="13"/>
    </row>
    <row r="14" spans="1:8" ht="15">
      <c r="A14" s="16"/>
      <c r="B14" s="18">
        <v>1</v>
      </c>
      <c r="C14" s="18" t="s">
        <v>46</v>
      </c>
      <c r="D14" s="19">
        <v>100286</v>
      </c>
      <c r="E14" s="13"/>
      <c r="F14" s="13"/>
      <c r="G14" s="13"/>
      <c r="H14" s="13"/>
    </row>
    <row r="15" spans="1:8" ht="15">
      <c r="A15" s="16"/>
      <c r="B15" s="18">
        <v>2</v>
      </c>
      <c r="C15" s="18" t="s">
        <v>45</v>
      </c>
      <c r="D15" s="19">
        <v>5868</v>
      </c>
      <c r="E15" s="13"/>
      <c r="F15" s="13"/>
      <c r="G15" s="13"/>
      <c r="H15" s="13"/>
    </row>
    <row r="16" spans="1:8" ht="15">
      <c r="A16" s="16"/>
      <c r="B16" s="18">
        <v>3</v>
      </c>
      <c r="C16" s="18" t="s">
        <v>44</v>
      </c>
      <c r="D16" s="19">
        <v>10450</v>
      </c>
      <c r="E16" s="13"/>
      <c r="F16" s="13"/>
      <c r="G16" s="13"/>
      <c r="H16" s="13"/>
    </row>
    <row r="17" spans="1:8" ht="15">
      <c r="A17" s="16"/>
      <c r="B17" s="18">
        <v>4</v>
      </c>
      <c r="C17" s="18" t="s">
        <v>43</v>
      </c>
      <c r="D17" s="19">
        <v>4644</v>
      </c>
      <c r="E17" s="13"/>
      <c r="F17" s="13"/>
      <c r="G17" s="13"/>
      <c r="H17" s="20"/>
    </row>
    <row r="18" spans="1:8" ht="15">
      <c r="A18" s="16"/>
      <c r="B18" s="18">
        <v>5</v>
      </c>
      <c r="C18" s="18" t="s">
        <v>42</v>
      </c>
      <c r="D18" s="19">
        <v>12190</v>
      </c>
      <c r="E18" s="13"/>
      <c r="F18" s="13"/>
      <c r="G18" s="13"/>
      <c r="H18" s="13"/>
    </row>
    <row r="19" spans="1:8" ht="15">
      <c r="A19" s="16"/>
      <c r="B19" s="18">
        <v>6</v>
      </c>
      <c r="C19" s="18" t="s">
        <v>41</v>
      </c>
      <c r="D19" s="19">
        <v>10350</v>
      </c>
      <c r="E19" s="13"/>
      <c r="F19" s="13"/>
      <c r="G19" s="13"/>
      <c r="H19" s="13"/>
    </row>
    <row r="20" spans="1:8" ht="15">
      <c r="A20" s="16"/>
      <c r="B20" s="18">
        <v>7</v>
      </c>
      <c r="C20" s="18" t="s">
        <v>40</v>
      </c>
      <c r="D20" s="19">
        <v>4742</v>
      </c>
      <c r="E20" s="13"/>
      <c r="F20" s="13"/>
      <c r="G20" s="13"/>
      <c r="H20" s="13"/>
    </row>
    <row r="21" spans="1:8" ht="15">
      <c r="A21" s="16">
        <v>4</v>
      </c>
      <c r="B21" s="285" t="s">
        <v>50</v>
      </c>
      <c r="C21" s="285"/>
      <c r="D21" s="285"/>
      <c r="E21" s="285"/>
      <c r="F21" s="285"/>
      <c r="G21" s="285"/>
      <c r="H21" s="285"/>
    </row>
    <row r="22" spans="1:8" ht="30">
      <c r="A22" s="16"/>
      <c r="B22" s="18" t="s">
        <v>49</v>
      </c>
      <c r="C22" s="18" t="s">
        <v>48</v>
      </c>
      <c r="D22" s="18" t="s">
        <v>47</v>
      </c>
      <c r="E22" s="13"/>
      <c r="F22" s="13"/>
      <c r="G22" s="13"/>
      <c r="H22" s="13"/>
    </row>
    <row r="23" spans="1:8" ht="15">
      <c r="A23" s="16"/>
      <c r="B23" s="18">
        <v>1</v>
      </c>
      <c r="C23" s="18" t="s">
        <v>46</v>
      </c>
      <c r="D23" s="17">
        <v>19.29</v>
      </c>
      <c r="E23" s="13"/>
      <c r="F23" s="13"/>
      <c r="G23" s="13"/>
      <c r="H23" s="13"/>
    </row>
    <row r="24" spans="1:8" ht="15">
      <c r="A24" s="16"/>
      <c r="B24" s="18">
        <v>2</v>
      </c>
      <c r="C24" s="18" t="s">
        <v>45</v>
      </c>
      <c r="D24" s="17">
        <v>0.2</v>
      </c>
      <c r="E24" s="13"/>
      <c r="F24" s="13"/>
      <c r="G24" s="13"/>
      <c r="H24" s="13"/>
    </row>
    <row r="25" spans="1:8" ht="15">
      <c r="A25" s="16"/>
      <c r="B25" s="18">
        <v>3</v>
      </c>
      <c r="C25" s="18" t="s">
        <v>44</v>
      </c>
      <c r="D25" s="17">
        <v>2.67</v>
      </c>
      <c r="E25" s="13"/>
      <c r="F25" s="13"/>
      <c r="G25" s="13"/>
      <c r="H25" s="13"/>
    </row>
    <row r="26" spans="1:8" ht="15">
      <c r="A26" s="16"/>
      <c r="B26" s="18">
        <v>4</v>
      </c>
      <c r="C26" s="18" t="s">
        <v>43</v>
      </c>
      <c r="D26" s="17">
        <v>1.76</v>
      </c>
      <c r="E26" s="13"/>
      <c r="F26" s="13"/>
      <c r="G26" s="13"/>
      <c r="H26" s="13"/>
    </row>
    <row r="27" spans="1:8" ht="15">
      <c r="A27" s="16"/>
      <c r="B27" s="18">
        <v>5</v>
      </c>
      <c r="C27" s="18" t="s">
        <v>42</v>
      </c>
      <c r="D27" s="17">
        <v>6.5</v>
      </c>
      <c r="E27" s="13"/>
      <c r="F27" s="13"/>
      <c r="G27" s="13"/>
      <c r="H27" s="13"/>
    </row>
    <row r="28" spans="1:8" ht="15">
      <c r="A28" s="16"/>
      <c r="B28" s="18">
        <v>6</v>
      </c>
      <c r="C28" s="18" t="s">
        <v>41</v>
      </c>
      <c r="D28" s="17">
        <v>2.6</v>
      </c>
      <c r="E28" s="13"/>
      <c r="F28" s="13"/>
      <c r="G28" s="13"/>
      <c r="H28" s="13"/>
    </row>
    <row r="29" spans="1:8" ht="15">
      <c r="A29" s="16"/>
      <c r="B29" s="18">
        <v>7</v>
      </c>
      <c r="C29" s="18" t="s">
        <v>40</v>
      </c>
      <c r="D29" s="17">
        <v>3.8</v>
      </c>
      <c r="E29" s="13"/>
      <c r="F29" s="13"/>
      <c r="G29" s="13"/>
      <c r="H29" s="13"/>
    </row>
    <row r="30" spans="1:8" ht="15">
      <c r="A30" s="16"/>
      <c r="B30" s="15"/>
      <c r="C30" s="15"/>
      <c r="D30" s="14"/>
      <c r="E30" s="13"/>
      <c r="F30" s="13"/>
      <c r="G30" s="13"/>
      <c r="H30" s="13"/>
    </row>
  </sheetData>
  <sheetProtection/>
  <mergeCells count="11">
    <mergeCell ref="B9:H9"/>
    <mergeCell ref="A1:H1"/>
    <mergeCell ref="B10:H10"/>
    <mergeCell ref="B11:H11"/>
    <mergeCell ref="B12:H12"/>
    <mergeCell ref="B21:H21"/>
    <mergeCell ref="A3:H3"/>
    <mergeCell ref="A4:H4"/>
    <mergeCell ref="A5:H5"/>
    <mergeCell ref="B7:H7"/>
    <mergeCell ref="B8:H8"/>
  </mergeCells>
  <printOptions horizontalCentered="1"/>
  <pageMargins left="0.16" right="0.24" top="0.86" bottom="0.75" header="0.3" footer="0.3"/>
  <pageSetup orientation="portrait" paperSize="9" r:id="rId1"/>
  <headerFooter>
    <oddFooter>&amp;C98</oddFooter>
  </headerFooter>
</worksheet>
</file>

<file path=xl/worksheets/sheet10.xml><?xml version="1.0" encoding="utf-8"?>
<worksheet xmlns="http://schemas.openxmlformats.org/spreadsheetml/2006/main" xmlns:r="http://schemas.openxmlformats.org/officeDocument/2006/relationships">
  <dimension ref="A1:K22"/>
  <sheetViews>
    <sheetView zoomScalePageLayoutView="0" workbookViewId="0" topLeftCell="A1">
      <selection activeCell="F21" sqref="F21"/>
    </sheetView>
  </sheetViews>
  <sheetFormatPr defaultColWidth="9.140625" defaultRowHeight="15"/>
  <cols>
    <col min="1" max="1" width="9.28125" style="1" customWidth="1"/>
    <col min="2" max="2" width="10.8515625" style="1" customWidth="1"/>
    <col min="3" max="3" width="9.57421875" style="1" customWidth="1"/>
    <col min="4" max="4" width="13.7109375" style="1" customWidth="1"/>
    <col min="5" max="5" width="9.140625" style="1" customWidth="1"/>
    <col min="6" max="6" width="13.28125" style="1" customWidth="1"/>
    <col min="7" max="7" width="10.00390625" style="1" customWidth="1"/>
    <col min="8" max="8" width="13.7109375" style="1" customWidth="1"/>
    <col min="9" max="9" width="9.28125" style="1" customWidth="1"/>
    <col min="10" max="10" width="13.7109375" style="1" customWidth="1"/>
    <col min="11" max="11" width="12.7109375" style="1" customWidth="1"/>
    <col min="12" max="16384" width="9.140625" style="1" customWidth="1"/>
  </cols>
  <sheetData>
    <row r="1" spans="1:11" ht="15.75">
      <c r="A1" s="299" t="s">
        <v>349</v>
      </c>
      <c r="B1" s="299"/>
      <c r="C1" s="299"/>
      <c r="D1" s="299"/>
      <c r="E1" s="299"/>
      <c r="F1" s="299"/>
      <c r="G1" s="299"/>
      <c r="H1" s="299"/>
      <c r="I1" s="299"/>
      <c r="J1" s="299"/>
      <c r="K1" s="299"/>
    </row>
    <row r="2" spans="1:11" ht="33" customHeight="1">
      <c r="A2" s="289" t="s">
        <v>348</v>
      </c>
      <c r="B2" s="289"/>
      <c r="C2" s="289"/>
      <c r="D2" s="289"/>
      <c r="E2" s="289"/>
      <c r="F2" s="289"/>
      <c r="G2" s="289"/>
      <c r="H2" s="289"/>
      <c r="I2" s="289"/>
      <c r="J2" s="289"/>
      <c r="K2" s="289"/>
    </row>
    <row r="3" spans="1:11" ht="15.75">
      <c r="A3" s="300" t="s">
        <v>347</v>
      </c>
      <c r="B3" s="300"/>
      <c r="C3" s="300"/>
      <c r="D3" s="300"/>
      <c r="E3" s="300"/>
      <c r="F3" s="300"/>
      <c r="G3" s="300"/>
      <c r="H3" s="300"/>
      <c r="I3" s="300"/>
      <c r="J3" s="301" t="s">
        <v>346</v>
      </c>
      <c r="K3" s="301"/>
    </row>
    <row r="4" spans="1:11" ht="24" customHeight="1">
      <c r="A4" s="298" t="s">
        <v>345</v>
      </c>
      <c r="B4" s="298" t="s">
        <v>344</v>
      </c>
      <c r="C4" s="298" t="s">
        <v>343</v>
      </c>
      <c r="D4" s="298" t="s">
        <v>342</v>
      </c>
      <c r="E4" s="298"/>
      <c r="F4" s="298" t="s">
        <v>341</v>
      </c>
      <c r="G4" s="298"/>
      <c r="H4" s="298" t="s">
        <v>340</v>
      </c>
      <c r="I4" s="298"/>
      <c r="J4" s="298" t="s">
        <v>2</v>
      </c>
      <c r="K4" s="298"/>
    </row>
    <row r="5" spans="1:11" ht="25.5">
      <c r="A5" s="298"/>
      <c r="B5" s="298"/>
      <c r="C5" s="298"/>
      <c r="D5" s="64" t="s">
        <v>339</v>
      </c>
      <c r="E5" s="64" t="s">
        <v>338</v>
      </c>
      <c r="F5" s="64" t="s">
        <v>339</v>
      </c>
      <c r="G5" s="64" t="s">
        <v>338</v>
      </c>
      <c r="H5" s="64" t="s">
        <v>339</v>
      </c>
      <c r="I5" s="64" t="s">
        <v>338</v>
      </c>
      <c r="J5" s="64" t="s">
        <v>339</v>
      </c>
      <c r="K5" s="64" t="s">
        <v>338</v>
      </c>
    </row>
    <row r="6" spans="1:11" s="58" customFormat="1" ht="23.25" customHeight="1">
      <c r="A6" s="62" t="s">
        <v>77</v>
      </c>
      <c r="B6" s="61"/>
      <c r="C6" s="61"/>
      <c r="D6" s="60"/>
      <c r="E6" s="60">
        <v>78</v>
      </c>
      <c r="F6" s="60"/>
      <c r="G6" s="60">
        <v>47</v>
      </c>
      <c r="H6" s="60" t="s">
        <v>337</v>
      </c>
      <c r="I6" s="60">
        <v>1380</v>
      </c>
      <c r="J6" s="60"/>
      <c r="K6" s="60">
        <f>E6+G6+I6</f>
        <v>1505</v>
      </c>
    </row>
    <row r="7" spans="1:11" s="58" customFormat="1" ht="23.25" customHeight="1">
      <c r="A7" s="62" t="s">
        <v>76</v>
      </c>
      <c r="B7" s="61"/>
      <c r="C7" s="61"/>
      <c r="D7" s="60"/>
      <c r="E7" s="60">
        <v>71</v>
      </c>
      <c r="F7" s="60"/>
      <c r="G7" s="60">
        <v>551</v>
      </c>
      <c r="H7" s="60" t="s">
        <v>337</v>
      </c>
      <c r="I7" s="60">
        <v>2326</v>
      </c>
      <c r="J7" s="60"/>
      <c r="K7" s="60">
        <f>E7+G7+I7</f>
        <v>2948</v>
      </c>
    </row>
    <row r="8" spans="1:11" s="58" customFormat="1" ht="23.25" customHeight="1">
      <c r="A8" s="62" t="s">
        <v>36</v>
      </c>
      <c r="B8" s="61"/>
      <c r="C8" s="61"/>
      <c r="D8" s="60">
        <v>119</v>
      </c>
      <c r="E8" s="60">
        <v>119</v>
      </c>
      <c r="F8" s="59" t="s">
        <v>336</v>
      </c>
      <c r="G8" s="59" t="s">
        <v>336</v>
      </c>
      <c r="H8" s="59" t="s">
        <v>336</v>
      </c>
      <c r="I8" s="59" t="s">
        <v>336</v>
      </c>
      <c r="J8" s="63">
        <v>119</v>
      </c>
      <c r="K8" s="60">
        <v>119</v>
      </c>
    </row>
    <row r="9" spans="1:11" s="58" customFormat="1" ht="23.25" customHeight="1">
      <c r="A9" s="62" t="s">
        <v>35</v>
      </c>
      <c r="B9" s="61"/>
      <c r="C9" s="61"/>
      <c r="D9" s="60">
        <v>142</v>
      </c>
      <c r="E9" s="60">
        <v>142</v>
      </c>
      <c r="F9" s="59" t="s">
        <v>336</v>
      </c>
      <c r="G9" s="59" t="s">
        <v>336</v>
      </c>
      <c r="H9" s="59" t="s">
        <v>336</v>
      </c>
      <c r="I9" s="59" t="s">
        <v>336</v>
      </c>
      <c r="J9" s="60">
        <v>142</v>
      </c>
      <c r="K9" s="60">
        <v>142</v>
      </c>
    </row>
    <row r="10" spans="1:11" s="58" customFormat="1" ht="23.25" customHeight="1">
      <c r="A10" s="62" t="s">
        <v>34</v>
      </c>
      <c r="B10" s="61"/>
      <c r="C10" s="61"/>
      <c r="D10" s="60">
        <v>159</v>
      </c>
      <c r="E10" s="60">
        <v>159</v>
      </c>
      <c r="F10" s="59" t="s">
        <v>336</v>
      </c>
      <c r="G10" s="59" t="s">
        <v>336</v>
      </c>
      <c r="H10" s="59" t="s">
        <v>336</v>
      </c>
      <c r="I10" s="59" t="s">
        <v>336</v>
      </c>
      <c r="J10" s="60">
        <v>159</v>
      </c>
      <c r="K10" s="60">
        <v>159</v>
      </c>
    </row>
    <row r="11" spans="1:11" s="58" customFormat="1" ht="23.25" customHeight="1">
      <c r="A11" s="62" t="s">
        <v>33</v>
      </c>
      <c r="B11" s="61"/>
      <c r="C11" s="61"/>
      <c r="D11" s="60">
        <v>268</v>
      </c>
      <c r="E11" s="60">
        <v>268</v>
      </c>
      <c r="F11" s="59" t="s">
        <v>336</v>
      </c>
      <c r="G11" s="59" t="s">
        <v>336</v>
      </c>
      <c r="H11" s="59" t="s">
        <v>336</v>
      </c>
      <c r="I11" s="59" t="s">
        <v>336</v>
      </c>
      <c r="J11" s="60">
        <v>268</v>
      </c>
      <c r="K11" s="60">
        <v>268</v>
      </c>
    </row>
    <row r="12" spans="1:11" s="58" customFormat="1" ht="23.25" customHeight="1">
      <c r="A12" s="62" t="s">
        <v>32</v>
      </c>
      <c r="B12" s="61"/>
      <c r="C12" s="61"/>
      <c r="D12" s="60">
        <v>305</v>
      </c>
      <c r="E12" s="60">
        <v>305</v>
      </c>
      <c r="F12" s="60">
        <v>328</v>
      </c>
      <c r="G12" s="60">
        <v>328</v>
      </c>
      <c r="H12" s="59" t="s">
        <v>336</v>
      </c>
      <c r="I12" s="59" t="s">
        <v>336</v>
      </c>
      <c r="J12" s="60">
        <f>D12+F12</f>
        <v>633</v>
      </c>
      <c r="K12" s="60">
        <f>E12+G12</f>
        <v>633</v>
      </c>
    </row>
    <row r="13" spans="1:11" s="58" customFormat="1" ht="23.25" customHeight="1">
      <c r="A13" s="62" t="s">
        <v>31</v>
      </c>
      <c r="B13" s="61"/>
      <c r="C13" s="61"/>
      <c r="D13" s="60">
        <v>353</v>
      </c>
      <c r="E13" s="60">
        <v>353</v>
      </c>
      <c r="F13" s="60">
        <v>337</v>
      </c>
      <c r="G13" s="60">
        <v>337</v>
      </c>
      <c r="H13" s="59" t="s">
        <v>336</v>
      </c>
      <c r="I13" s="59" t="s">
        <v>336</v>
      </c>
      <c r="J13" s="60">
        <f>D13+F13</f>
        <v>690</v>
      </c>
      <c r="K13" s="60">
        <f>E13+G13</f>
        <v>690</v>
      </c>
    </row>
    <row r="14" spans="1:11" s="58" customFormat="1" ht="23.25" customHeight="1">
      <c r="A14" s="62" t="s">
        <v>30</v>
      </c>
      <c r="B14" s="61"/>
      <c r="C14" s="61"/>
      <c r="D14" s="60">
        <v>406</v>
      </c>
      <c r="E14" s="59" t="s">
        <v>336</v>
      </c>
      <c r="F14" s="60">
        <v>346</v>
      </c>
      <c r="G14" s="59" t="s">
        <v>336</v>
      </c>
      <c r="H14" s="59" t="s">
        <v>336</v>
      </c>
      <c r="I14" s="59" t="s">
        <v>336</v>
      </c>
      <c r="J14" s="60">
        <f>D14+F14</f>
        <v>752</v>
      </c>
      <c r="K14" s="59" t="s">
        <v>336</v>
      </c>
    </row>
    <row r="15" spans="1:11" s="58" customFormat="1" ht="23.25" customHeight="1">
      <c r="A15" s="62" t="s">
        <v>29</v>
      </c>
      <c r="B15" s="61"/>
      <c r="C15" s="61"/>
      <c r="D15" s="60">
        <v>467</v>
      </c>
      <c r="E15" s="59" t="s">
        <v>336</v>
      </c>
      <c r="F15" s="60">
        <v>355</v>
      </c>
      <c r="G15" s="59" t="s">
        <v>336</v>
      </c>
      <c r="H15" s="59" t="s">
        <v>336</v>
      </c>
      <c r="I15" s="59" t="s">
        <v>336</v>
      </c>
      <c r="J15" s="60">
        <f>D15+F15</f>
        <v>822</v>
      </c>
      <c r="K15" s="59" t="s">
        <v>336</v>
      </c>
    </row>
    <row r="16" spans="1:11" s="58" customFormat="1" ht="23.25" customHeight="1">
      <c r="A16" s="62" t="s">
        <v>28</v>
      </c>
      <c r="B16" s="61"/>
      <c r="C16" s="61"/>
      <c r="D16" s="60">
        <v>686</v>
      </c>
      <c r="E16" s="59" t="s">
        <v>336</v>
      </c>
      <c r="F16" s="59" t="s">
        <v>336</v>
      </c>
      <c r="G16" s="59" t="s">
        <v>336</v>
      </c>
      <c r="H16" s="59" t="s">
        <v>336</v>
      </c>
      <c r="I16" s="59" t="s">
        <v>336</v>
      </c>
      <c r="J16" s="60">
        <v>686</v>
      </c>
      <c r="K16" s="59" t="s">
        <v>336</v>
      </c>
    </row>
    <row r="17" spans="1:11" s="58" customFormat="1" ht="23.25" customHeight="1">
      <c r="A17" s="62" t="s">
        <v>27</v>
      </c>
      <c r="B17" s="61"/>
      <c r="C17" s="61"/>
      <c r="D17" s="60">
        <v>750</v>
      </c>
      <c r="E17" s="59" t="s">
        <v>336</v>
      </c>
      <c r="F17" s="59" t="s">
        <v>336</v>
      </c>
      <c r="G17" s="59" t="s">
        <v>336</v>
      </c>
      <c r="H17" s="59" t="s">
        <v>336</v>
      </c>
      <c r="I17" s="59" t="s">
        <v>336</v>
      </c>
      <c r="J17" s="60">
        <v>750</v>
      </c>
      <c r="K17" s="59" t="s">
        <v>336</v>
      </c>
    </row>
    <row r="18" spans="1:11" s="58" customFormat="1" ht="23.25" customHeight="1">
      <c r="A18" s="62" t="s">
        <v>26</v>
      </c>
      <c r="B18" s="61"/>
      <c r="C18" s="61"/>
      <c r="D18" s="60">
        <v>822</v>
      </c>
      <c r="E18" s="59" t="s">
        <v>336</v>
      </c>
      <c r="F18" s="59" t="s">
        <v>336</v>
      </c>
      <c r="G18" s="59" t="s">
        <v>336</v>
      </c>
      <c r="H18" s="59" t="s">
        <v>336</v>
      </c>
      <c r="I18" s="59" t="s">
        <v>336</v>
      </c>
      <c r="J18" s="60">
        <v>822</v>
      </c>
      <c r="K18" s="59" t="s">
        <v>336</v>
      </c>
    </row>
    <row r="19" spans="1:11" s="58" customFormat="1" ht="23.25" customHeight="1">
      <c r="A19" s="62" t="s">
        <v>25</v>
      </c>
      <c r="B19" s="61"/>
      <c r="C19" s="61"/>
      <c r="D19" s="60">
        <v>903</v>
      </c>
      <c r="E19" s="59" t="s">
        <v>336</v>
      </c>
      <c r="F19" s="59" t="s">
        <v>336</v>
      </c>
      <c r="G19" s="59" t="s">
        <v>336</v>
      </c>
      <c r="H19" s="59" t="s">
        <v>336</v>
      </c>
      <c r="I19" s="59" t="s">
        <v>336</v>
      </c>
      <c r="J19" s="60">
        <v>903</v>
      </c>
      <c r="K19" s="59" t="s">
        <v>336</v>
      </c>
    </row>
    <row r="20" spans="1:11" s="58" customFormat="1" ht="23.25" customHeight="1">
      <c r="A20" s="62" t="s">
        <v>24</v>
      </c>
      <c r="B20" s="61"/>
      <c r="C20" s="61"/>
      <c r="D20" s="60">
        <v>993</v>
      </c>
      <c r="E20" s="59" t="s">
        <v>336</v>
      </c>
      <c r="F20" s="59" t="s">
        <v>336</v>
      </c>
      <c r="G20" s="59" t="s">
        <v>336</v>
      </c>
      <c r="H20" s="59" t="s">
        <v>336</v>
      </c>
      <c r="I20" s="59" t="s">
        <v>336</v>
      </c>
      <c r="J20" s="60">
        <v>993</v>
      </c>
      <c r="K20" s="59" t="s">
        <v>336</v>
      </c>
    </row>
    <row r="21" ht="12.75">
      <c r="A21" s="57" t="s">
        <v>335</v>
      </c>
    </row>
    <row r="22" ht="12.75">
      <c r="A22" s="56" t="s">
        <v>334</v>
      </c>
    </row>
  </sheetData>
  <sheetProtection/>
  <mergeCells count="11">
    <mergeCell ref="F4:G4"/>
    <mergeCell ref="H4:I4"/>
    <mergeCell ref="J4:K4"/>
    <mergeCell ref="A1:K1"/>
    <mergeCell ref="A2:K2"/>
    <mergeCell ref="A3:I3"/>
    <mergeCell ref="J3:K3"/>
    <mergeCell ref="A4:A5"/>
    <mergeCell ref="B4:B5"/>
    <mergeCell ref="C4:C5"/>
    <mergeCell ref="D4:E4"/>
  </mergeCells>
  <printOptions horizontalCentered="1"/>
  <pageMargins left="0.551181102362205" right="0.590551181102362" top="0.669291338582677" bottom="0.866141732283465" header="0.511811023622047" footer="0.511811023622047"/>
  <pageSetup firstPageNumber="108" useFirstPageNumber="1" horizontalDpi="600" verticalDpi="600" orientation="landscape"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K22"/>
  <sheetViews>
    <sheetView zoomScalePageLayoutView="0" workbookViewId="0" topLeftCell="A1">
      <selection activeCell="P10" sqref="P10"/>
    </sheetView>
  </sheetViews>
  <sheetFormatPr defaultColWidth="10.28125" defaultRowHeight="15"/>
  <cols>
    <col min="1" max="1" width="9.28125" style="1" customWidth="1"/>
    <col min="2" max="2" width="10.8515625" style="1" customWidth="1"/>
    <col min="3" max="3" width="9.57421875" style="1" customWidth="1"/>
    <col min="4" max="4" width="13.7109375" style="1" customWidth="1"/>
    <col min="5" max="5" width="10.28125" style="1" customWidth="1"/>
    <col min="6" max="6" width="13.28125" style="1" customWidth="1"/>
    <col min="7" max="7" width="10.00390625" style="1" customWidth="1"/>
    <col min="8" max="8" width="13.7109375" style="1" customWidth="1"/>
    <col min="9" max="9" width="9.28125" style="1" customWidth="1"/>
    <col min="10" max="10" width="13.7109375" style="1" customWidth="1"/>
    <col min="11" max="11" width="8.7109375" style="1" customWidth="1"/>
    <col min="12" max="16384" width="10.28125" style="1" customWidth="1"/>
  </cols>
  <sheetData>
    <row r="1" spans="1:11" ht="15.75">
      <c r="A1" s="299" t="s">
        <v>351</v>
      </c>
      <c r="B1" s="299"/>
      <c r="C1" s="299"/>
      <c r="D1" s="299"/>
      <c r="E1" s="299"/>
      <c r="F1" s="299"/>
      <c r="G1" s="299"/>
      <c r="H1" s="299"/>
      <c r="I1" s="299"/>
      <c r="J1" s="299"/>
      <c r="K1" s="299"/>
    </row>
    <row r="2" spans="1:11" ht="33" customHeight="1">
      <c r="A2" s="289" t="s">
        <v>348</v>
      </c>
      <c r="B2" s="289"/>
      <c r="C2" s="289"/>
      <c r="D2" s="289"/>
      <c r="E2" s="289"/>
      <c r="F2" s="289"/>
      <c r="G2" s="289"/>
      <c r="H2" s="289"/>
      <c r="I2" s="289"/>
      <c r="J2" s="289"/>
      <c r="K2" s="289"/>
    </row>
    <row r="3" spans="1:11" ht="15.75">
      <c r="A3" s="300" t="s">
        <v>350</v>
      </c>
      <c r="B3" s="300"/>
      <c r="C3" s="300"/>
      <c r="D3" s="300"/>
      <c r="E3" s="300"/>
      <c r="F3" s="300"/>
      <c r="G3" s="300"/>
      <c r="H3" s="300"/>
      <c r="I3" s="300"/>
      <c r="J3" s="301" t="s">
        <v>346</v>
      </c>
      <c r="K3" s="301"/>
    </row>
    <row r="4" spans="1:11" ht="24" customHeight="1">
      <c r="A4" s="298" t="s">
        <v>345</v>
      </c>
      <c r="B4" s="298" t="s">
        <v>344</v>
      </c>
      <c r="C4" s="298" t="s">
        <v>343</v>
      </c>
      <c r="D4" s="298" t="s">
        <v>342</v>
      </c>
      <c r="E4" s="298"/>
      <c r="F4" s="298" t="s">
        <v>341</v>
      </c>
      <c r="G4" s="298"/>
      <c r="H4" s="298" t="s">
        <v>340</v>
      </c>
      <c r="I4" s="298"/>
      <c r="J4" s="298" t="s">
        <v>2</v>
      </c>
      <c r="K4" s="298"/>
    </row>
    <row r="5" spans="1:11" ht="25.5">
      <c r="A5" s="298"/>
      <c r="B5" s="298"/>
      <c r="C5" s="298"/>
      <c r="D5" s="64" t="s">
        <v>339</v>
      </c>
      <c r="E5" s="64" t="s">
        <v>338</v>
      </c>
      <c r="F5" s="64" t="s">
        <v>339</v>
      </c>
      <c r="G5" s="64" t="s">
        <v>338</v>
      </c>
      <c r="H5" s="64" t="s">
        <v>339</v>
      </c>
      <c r="I5" s="64" t="s">
        <v>338</v>
      </c>
      <c r="J5" s="64" t="s">
        <v>339</v>
      </c>
      <c r="K5" s="64" t="s">
        <v>338</v>
      </c>
    </row>
    <row r="6" spans="1:11" s="58" customFormat="1" ht="23.25" customHeight="1">
      <c r="A6" s="62" t="s">
        <v>77</v>
      </c>
      <c r="B6" s="302" t="s">
        <v>692</v>
      </c>
      <c r="C6" s="303"/>
      <c r="D6" s="303"/>
      <c r="E6" s="303"/>
      <c r="F6" s="303"/>
      <c r="G6" s="303"/>
      <c r="H6" s="303"/>
      <c r="I6" s="303"/>
      <c r="J6" s="303"/>
      <c r="K6" s="304"/>
    </row>
    <row r="7" spans="1:11" s="58" customFormat="1" ht="23.25" customHeight="1">
      <c r="A7" s="62" t="s">
        <v>76</v>
      </c>
      <c r="B7" s="305"/>
      <c r="C7" s="306"/>
      <c r="D7" s="306"/>
      <c r="E7" s="306"/>
      <c r="F7" s="306"/>
      <c r="G7" s="306"/>
      <c r="H7" s="306"/>
      <c r="I7" s="306"/>
      <c r="J7" s="306"/>
      <c r="K7" s="307"/>
    </row>
    <row r="8" spans="1:11" s="58" customFormat="1" ht="23.25" customHeight="1">
      <c r="A8" s="62" t="s">
        <v>36</v>
      </c>
      <c r="B8" s="305"/>
      <c r="C8" s="306"/>
      <c r="D8" s="306"/>
      <c r="E8" s="306"/>
      <c r="F8" s="306"/>
      <c r="G8" s="306"/>
      <c r="H8" s="306"/>
      <c r="I8" s="306"/>
      <c r="J8" s="306"/>
      <c r="K8" s="307"/>
    </row>
    <row r="9" spans="1:11" s="58" customFormat="1" ht="23.25" customHeight="1">
      <c r="A9" s="62" t="s">
        <v>35</v>
      </c>
      <c r="B9" s="305"/>
      <c r="C9" s="306"/>
      <c r="D9" s="306"/>
      <c r="E9" s="306"/>
      <c r="F9" s="306"/>
      <c r="G9" s="306"/>
      <c r="H9" s="306"/>
      <c r="I9" s="306"/>
      <c r="J9" s="306"/>
      <c r="K9" s="307"/>
    </row>
    <row r="10" spans="1:11" s="58" customFormat="1" ht="23.25" customHeight="1">
      <c r="A10" s="62" t="s">
        <v>34</v>
      </c>
      <c r="B10" s="305"/>
      <c r="C10" s="306"/>
      <c r="D10" s="306"/>
      <c r="E10" s="306"/>
      <c r="F10" s="306"/>
      <c r="G10" s="306"/>
      <c r="H10" s="306"/>
      <c r="I10" s="306"/>
      <c r="J10" s="306"/>
      <c r="K10" s="307"/>
    </row>
    <row r="11" spans="1:11" s="58" customFormat="1" ht="23.25" customHeight="1">
      <c r="A11" s="62" t="s">
        <v>33</v>
      </c>
      <c r="B11" s="305"/>
      <c r="C11" s="306"/>
      <c r="D11" s="306"/>
      <c r="E11" s="306"/>
      <c r="F11" s="306"/>
      <c r="G11" s="306"/>
      <c r="H11" s="306"/>
      <c r="I11" s="306"/>
      <c r="J11" s="306"/>
      <c r="K11" s="307"/>
    </row>
    <row r="12" spans="1:11" s="58" customFormat="1" ht="23.25" customHeight="1">
      <c r="A12" s="62" t="s">
        <v>32</v>
      </c>
      <c r="B12" s="305"/>
      <c r="C12" s="306"/>
      <c r="D12" s="306"/>
      <c r="E12" s="306"/>
      <c r="F12" s="306"/>
      <c r="G12" s="306"/>
      <c r="H12" s="306"/>
      <c r="I12" s="306"/>
      <c r="J12" s="306"/>
      <c r="K12" s="307"/>
    </row>
    <row r="13" spans="1:11" s="58" customFormat="1" ht="23.25" customHeight="1">
      <c r="A13" s="62" t="s">
        <v>31</v>
      </c>
      <c r="B13" s="305"/>
      <c r="C13" s="306"/>
      <c r="D13" s="306"/>
      <c r="E13" s="306"/>
      <c r="F13" s="306"/>
      <c r="G13" s="306"/>
      <c r="H13" s="306"/>
      <c r="I13" s="306"/>
      <c r="J13" s="306"/>
      <c r="K13" s="307"/>
    </row>
    <row r="14" spans="1:11" s="58" customFormat="1" ht="23.25" customHeight="1">
      <c r="A14" s="62" t="s">
        <v>30</v>
      </c>
      <c r="B14" s="305"/>
      <c r="C14" s="306"/>
      <c r="D14" s="306"/>
      <c r="E14" s="306"/>
      <c r="F14" s="306"/>
      <c r="G14" s="306"/>
      <c r="H14" s="306"/>
      <c r="I14" s="306"/>
      <c r="J14" s="306"/>
      <c r="K14" s="307"/>
    </row>
    <row r="15" spans="1:11" s="58" customFormat="1" ht="23.25" customHeight="1">
      <c r="A15" s="62" t="s">
        <v>29</v>
      </c>
      <c r="B15" s="305"/>
      <c r="C15" s="306"/>
      <c r="D15" s="306"/>
      <c r="E15" s="306"/>
      <c r="F15" s="306"/>
      <c r="G15" s="306"/>
      <c r="H15" s="306"/>
      <c r="I15" s="306"/>
      <c r="J15" s="306"/>
      <c r="K15" s="307"/>
    </row>
    <row r="16" spans="1:11" s="58" customFormat="1" ht="23.25" customHeight="1">
      <c r="A16" s="62" t="s">
        <v>28</v>
      </c>
      <c r="B16" s="305"/>
      <c r="C16" s="306"/>
      <c r="D16" s="306"/>
      <c r="E16" s="306"/>
      <c r="F16" s="306"/>
      <c r="G16" s="306"/>
      <c r="H16" s="306"/>
      <c r="I16" s="306"/>
      <c r="J16" s="306"/>
      <c r="K16" s="307"/>
    </row>
    <row r="17" spans="1:11" s="58" customFormat="1" ht="23.25" customHeight="1">
      <c r="A17" s="62" t="s">
        <v>27</v>
      </c>
      <c r="B17" s="305"/>
      <c r="C17" s="306"/>
      <c r="D17" s="306"/>
      <c r="E17" s="306"/>
      <c r="F17" s="306"/>
      <c r="G17" s="306"/>
      <c r="H17" s="306"/>
      <c r="I17" s="306"/>
      <c r="J17" s="306"/>
      <c r="K17" s="307"/>
    </row>
    <row r="18" spans="1:11" s="58" customFormat="1" ht="23.25" customHeight="1">
      <c r="A18" s="62" t="s">
        <v>26</v>
      </c>
      <c r="B18" s="305"/>
      <c r="C18" s="306"/>
      <c r="D18" s="306"/>
      <c r="E18" s="306"/>
      <c r="F18" s="306"/>
      <c r="G18" s="306"/>
      <c r="H18" s="306"/>
      <c r="I18" s="306"/>
      <c r="J18" s="306"/>
      <c r="K18" s="307"/>
    </row>
    <row r="19" spans="1:11" s="58" customFormat="1" ht="23.25" customHeight="1">
      <c r="A19" s="62" t="s">
        <v>25</v>
      </c>
      <c r="B19" s="305"/>
      <c r="C19" s="306"/>
      <c r="D19" s="306"/>
      <c r="E19" s="306"/>
      <c r="F19" s="306"/>
      <c r="G19" s="306"/>
      <c r="H19" s="306"/>
      <c r="I19" s="306"/>
      <c r="J19" s="306"/>
      <c r="K19" s="307"/>
    </row>
    <row r="20" spans="1:11" s="58" customFormat="1" ht="23.25" customHeight="1">
      <c r="A20" s="62" t="s">
        <v>24</v>
      </c>
      <c r="B20" s="308"/>
      <c r="C20" s="309"/>
      <c r="D20" s="309"/>
      <c r="E20" s="309"/>
      <c r="F20" s="309"/>
      <c r="G20" s="309"/>
      <c r="H20" s="309"/>
      <c r="I20" s="309"/>
      <c r="J20" s="309"/>
      <c r="K20" s="310"/>
    </row>
    <row r="21" ht="12.75">
      <c r="A21" s="57" t="s">
        <v>335</v>
      </c>
    </row>
    <row r="22" ht="12.75">
      <c r="A22" s="56" t="s">
        <v>334</v>
      </c>
    </row>
  </sheetData>
  <sheetProtection/>
  <mergeCells count="12">
    <mergeCell ref="A1:K1"/>
    <mergeCell ref="A2:K2"/>
    <mergeCell ref="A3:I3"/>
    <mergeCell ref="J3:K3"/>
    <mergeCell ref="A4:A5"/>
    <mergeCell ref="B4:B5"/>
    <mergeCell ref="C4:C5"/>
    <mergeCell ref="D4:E4"/>
    <mergeCell ref="F4:G4"/>
    <mergeCell ref="H4:I4"/>
    <mergeCell ref="J4:K4"/>
    <mergeCell ref="B6:K20"/>
  </mergeCells>
  <printOptions horizontalCentered="1"/>
  <pageMargins left="0.551181102362205" right="0.590551181102362" top="0.669291338582677" bottom="0.866141732283465" header="0.511811023622047" footer="0.511811023622047"/>
  <pageSetup firstPageNumber="109" useFirstPageNumber="1" horizontalDpi="600" verticalDpi="600" orientation="landscape"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K22"/>
  <sheetViews>
    <sheetView zoomScalePageLayoutView="0" workbookViewId="0" topLeftCell="A1">
      <selection activeCell="P7" sqref="P7"/>
    </sheetView>
  </sheetViews>
  <sheetFormatPr defaultColWidth="9.140625" defaultRowHeight="15"/>
  <cols>
    <col min="1" max="1" width="10.7109375" style="1" customWidth="1"/>
    <col min="2" max="2" width="9.8515625" style="1" customWidth="1"/>
    <col min="3" max="3" width="9.140625" style="1" customWidth="1"/>
    <col min="4" max="4" width="13.421875" style="1" customWidth="1"/>
    <col min="5" max="5" width="9.140625" style="1" customWidth="1"/>
    <col min="6" max="6" width="13.421875" style="1" customWidth="1"/>
    <col min="7" max="7" width="9.140625" style="1" customWidth="1"/>
    <col min="8" max="8" width="13.421875" style="1" customWidth="1"/>
    <col min="9" max="9" width="10.8515625" style="1" bestFit="1" customWidth="1"/>
    <col min="10" max="10" width="13.140625" style="1" customWidth="1"/>
    <col min="11" max="11" width="15.57421875" style="1" customWidth="1"/>
    <col min="12" max="16384" width="9.140625" style="1" customWidth="1"/>
  </cols>
  <sheetData>
    <row r="1" spans="1:11" ht="15.75">
      <c r="A1" s="299" t="s">
        <v>356</v>
      </c>
      <c r="B1" s="299"/>
      <c r="C1" s="299"/>
      <c r="D1" s="299"/>
      <c r="E1" s="299"/>
      <c r="F1" s="299"/>
      <c r="G1" s="299"/>
      <c r="H1" s="299"/>
      <c r="I1" s="299"/>
      <c r="J1" s="299"/>
      <c r="K1" s="299"/>
    </row>
    <row r="2" spans="1:11" ht="34.5" customHeight="1">
      <c r="A2" s="311" t="s">
        <v>348</v>
      </c>
      <c r="B2" s="311"/>
      <c r="C2" s="311"/>
      <c r="D2" s="311"/>
      <c r="E2" s="311"/>
      <c r="F2" s="311"/>
      <c r="G2" s="311"/>
      <c r="H2" s="311"/>
      <c r="I2" s="311"/>
      <c r="J2" s="311"/>
      <c r="K2" s="311"/>
    </row>
    <row r="3" spans="1:11" ht="15.75">
      <c r="A3" s="312" t="s">
        <v>355</v>
      </c>
      <c r="B3" s="312"/>
      <c r="C3" s="312"/>
      <c r="D3" s="312"/>
      <c r="E3" s="312"/>
      <c r="F3" s="312"/>
      <c r="G3" s="312"/>
      <c r="H3" s="312"/>
      <c r="I3" s="312"/>
      <c r="J3" s="313" t="s">
        <v>354</v>
      </c>
      <c r="K3" s="313"/>
    </row>
    <row r="4" spans="1:11" ht="26.25" customHeight="1">
      <c r="A4" s="298" t="s">
        <v>345</v>
      </c>
      <c r="B4" s="298" t="s">
        <v>344</v>
      </c>
      <c r="C4" s="298" t="s">
        <v>343</v>
      </c>
      <c r="D4" s="298" t="s">
        <v>342</v>
      </c>
      <c r="E4" s="298"/>
      <c r="F4" s="298" t="s">
        <v>341</v>
      </c>
      <c r="G4" s="298"/>
      <c r="H4" s="298" t="s">
        <v>340</v>
      </c>
      <c r="I4" s="298"/>
      <c r="J4" s="298" t="s">
        <v>2</v>
      </c>
      <c r="K4" s="298"/>
    </row>
    <row r="5" spans="1:11" ht="25.5">
      <c r="A5" s="298"/>
      <c r="B5" s="298"/>
      <c r="C5" s="298"/>
      <c r="D5" s="64" t="s">
        <v>339</v>
      </c>
      <c r="E5" s="64" t="s">
        <v>338</v>
      </c>
      <c r="F5" s="64" t="s">
        <v>339</v>
      </c>
      <c r="G5" s="64" t="s">
        <v>338</v>
      </c>
      <c r="H5" s="64" t="s">
        <v>339</v>
      </c>
      <c r="I5" s="64" t="s">
        <v>338</v>
      </c>
      <c r="J5" s="64" t="s">
        <v>339</v>
      </c>
      <c r="K5" s="64" t="s">
        <v>338</v>
      </c>
    </row>
    <row r="6" spans="1:11" s="58" customFormat="1" ht="22.5" customHeight="1">
      <c r="A6" s="62" t="s">
        <v>77</v>
      </c>
      <c r="B6" s="61"/>
      <c r="C6" s="61"/>
      <c r="D6" s="61"/>
      <c r="E6" s="60">
        <v>174</v>
      </c>
      <c r="F6" s="67"/>
      <c r="G6" s="60">
        <v>285</v>
      </c>
      <c r="H6" s="66" t="s">
        <v>353</v>
      </c>
      <c r="I6" s="60">
        <v>8750</v>
      </c>
      <c r="J6" s="60"/>
      <c r="K6" s="60">
        <f>G6+I6</f>
        <v>9035</v>
      </c>
    </row>
    <row r="7" spans="1:11" s="58" customFormat="1" ht="22.5" customHeight="1">
      <c r="A7" s="62" t="s">
        <v>76</v>
      </c>
      <c r="B7" s="61"/>
      <c r="C7" s="61"/>
      <c r="D7" s="61"/>
      <c r="E7" s="60">
        <v>1.58</v>
      </c>
      <c r="F7" s="67"/>
      <c r="G7" s="60">
        <v>200</v>
      </c>
      <c r="H7" s="66" t="s">
        <v>352</v>
      </c>
      <c r="I7" s="60">
        <v>12621</v>
      </c>
      <c r="J7" s="60"/>
      <c r="K7" s="60">
        <f>G7+I7</f>
        <v>12821</v>
      </c>
    </row>
    <row r="8" spans="1:11" s="58" customFormat="1" ht="22.5" customHeight="1">
      <c r="A8" s="62" t="s">
        <v>36</v>
      </c>
      <c r="B8" s="61"/>
      <c r="C8" s="61"/>
      <c r="D8" s="60">
        <v>274</v>
      </c>
      <c r="E8" s="60">
        <v>274</v>
      </c>
      <c r="F8" s="65" t="s">
        <v>336</v>
      </c>
      <c r="G8" s="65" t="s">
        <v>336</v>
      </c>
      <c r="H8" s="60"/>
      <c r="I8" s="60"/>
      <c r="J8" s="60">
        <v>274</v>
      </c>
      <c r="K8" s="60">
        <v>274</v>
      </c>
    </row>
    <row r="9" spans="1:11" s="58" customFormat="1" ht="22.5" customHeight="1">
      <c r="A9" s="62" t="s">
        <v>35</v>
      </c>
      <c r="B9" s="61"/>
      <c r="C9" s="61"/>
      <c r="D9" s="60">
        <v>328</v>
      </c>
      <c r="E9" s="60">
        <v>328</v>
      </c>
      <c r="F9" s="65" t="s">
        <v>336</v>
      </c>
      <c r="G9" s="65" t="s">
        <v>336</v>
      </c>
      <c r="H9" s="60"/>
      <c r="I9" s="60"/>
      <c r="J9" s="60">
        <v>328</v>
      </c>
      <c r="K9" s="60">
        <v>328</v>
      </c>
    </row>
    <row r="10" spans="1:11" s="58" customFormat="1" ht="22.5" customHeight="1">
      <c r="A10" s="62" t="s">
        <v>34</v>
      </c>
      <c r="B10" s="61"/>
      <c r="C10" s="61"/>
      <c r="D10" s="60">
        <v>367</v>
      </c>
      <c r="E10" s="60">
        <v>367</v>
      </c>
      <c r="F10" s="65" t="s">
        <v>336</v>
      </c>
      <c r="G10" s="65" t="s">
        <v>336</v>
      </c>
      <c r="H10" s="60"/>
      <c r="I10" s="60"/>
      <c r="J10" s="60">
        <v>367</v>
      </c>
      <c r="K10" s="60">
        <v>367</v>
      </c>
    </row>
    <row r="11" spans="1:11" s="58" customFormat="1" ht="22.5" customHeight="1">
      <c r="A11" s="62" t="s">
        <v>33</v>
      </c>
      <c r="B11" s="61"/>
      <c r="C11" s="61"/>
      <c r="D11" s="60">
        <v>625</v>
      </c>
      <c r="E11" s="60">
        <v>625</v>
      </c>
      <c r="F11" s="65" t="s">
        <v>336</v>
      </c>
      <c r="G11" s="65" t="s">
        <v>336</v>
      </c>
      <c r="H11" s="60"/>
      <c r="I11" s="60"/>
      <c r="J11" s="60">
        <v>625</v>
      </c>
      <c r="K11" s="60">
        <v>625</v>
      </c>
    </row>
    <row r="12" spans="1:11" s="58" customFormat="1" ht="22.5" customHeight="1">
      <c r="A12" s="62" t="s">
        <v>32</v>
      </c>
      <c r="B12" s="61"/>
      <c r="C12" s="61"/>
      <c r="D12" s="60">
        <v>711</v>
      </c>
      <c r="E12" s="60">
        <v>711</v>
      </c>
      <c r="F12" s="60">
        <v>701</v>
      </c>
      <c r="G12" s="60"/>
      <c r="H12" s="60"/>
      <c r="I12" s="60"/>
      <c r="J12" s="60">
        <f aca="true" t="shared" si="0" ref="J12:J20">D12+F12</f>
        <v>1412</v>
      </c>
      <c r="K12" s="65" t="s">
        <v>336</v>
      </c>
    </row>
    <row r="13" spans="1:11" s="58" customFormat="1" ht="22.5" customHeight="1">
      <c r="A13" s="62" t="s">
        <v>31</v>
      </c>
      <c r="B13" s="61"/>
      <c r="C13" s="61"/>
      <c r="D13" s="60">
        <v>821</v>
      </c>
      <c r="E13" s="60">
        <v>821</v>
      </c>
      <c r="F13" s="60">
        <v>719</v>
      </c>
      <c r="G13" s="60"/>
      <c r="H13" s="60"/>
      <c r="I13" s="60"/>
      <c r="J13" s="60">
        <f t="shared" si="0"/>
        <v>1540</v>
      </c>
      <c r="K13" s="65" t="s">
        <v>336</v>
      </c>
    </row>
    <row r="14" spans="1:11" s="58" customFormat="1" ht="22.5" customHeight="1">
      <c r="A14" s="62" t="s">
        <v>30</v>
      </c>
      <c r="B14" s="61"/>
      <c r="C14" s="61"/>
      <c r="D14" s="60">
        <v>958</v>
      </c>
      <c r="E14" s="60"/>
      <c r="F14" s="60">
        <v>737</v>
      </c>
      <c r="G14" s="60"/>
      <c r="H14" s="60"/>
      <c r="I14" s="60"/>
      <c r="J14" s="60">
        <f t="shared" si="0"/>
        <v>1695</v>
      </c>
      <c r="K14" s="65" t="s">
        <v>336</v>
      </c>
    </row>
    <row r="15" spans="1:11" s="58" customFormat="1" ht="22.5" customHeight="1">
      <c r="A15" s="62" t="s">
        <v>29</v>
      </c>
      <c r="B15" s="61"/>
      <c r="C15" s="61"/>
      <c r="D15" s="60">
        <v>1035</v>
      </c>
      <c r="E15" s="60"/>
      <c r="F15" s="60">
        <v>756</v>
      </c>
      <c r="G15" s="60"/>
      <c r="H15" s="60"/>
      <c r="I15" s="60"/>
      <c r="J15" s="60">
        <f t="shared" si="0"/>
        <v>1791</v>
      </c>
      <c r="K15" s="65" t="s">
        <v>336</v>
      </c>
    </row>
    <row r="16" spans="1:11" s="58" customFormat="1" ht="22.5" customHeight="1">
      <c r="A16" s="62" t="s">
        <v>28</v>
      </c>
      <c r="B16" s="61"/>
      <c r="C16" s="61"/>
      <c r="D16" s="60">
        <v>1273</v>
      </c>
      <c r="E16" s="60"/>
      <c r="F16" s="60">
        <v>280</v>
      </c>
      <c r="G16" s="60"/>
      <c r="H16" s="60"/>
      <c r="I16" s="60"/>
      <c r="J16" s="60">
        <f t="shared" si="0"/>
        <v>1553</v>
      </c>
      <c r="K16" s="65" t="s">
        <v>336</v>
      </c>
    </row>
    <row r="17" spans="1:11" s="58" customFormat="1" ht="22.5" customHeight="1">
      <c r="A17" s="62" t="s">
        <v>27</v>
      </c>
      <c r="B17" s="61"/>
      <c r="C17" s="61"/>
      <c r="D17" s="60">
        <v>1393</v>
      </c>
      <c r="E17" s="60"/>
      <c r="F17" s="60">
        <v>306</v>
      </c>
      <c r="G17" s="60"/>
      <c r="H17" s="60"/>
      <c r="I17" s="60"/>
      <c r="J17" s="60">
        <f t="shared" si="0"/>
        <v>1699</v>
      </c>
      <c r="K17" s="65" t="s">
        <v>336</v>
      </c>
    </row>
    <row r="18" spans="1:11" s="58" customFormat="1" ht="22.5" customHeight="1">
      <c r="A18" s="62" t="s">
        <v>26</v>
      </c>
      <c r="B18" s="61"/>
      <c r="C18" s="61"/>
      <c r="D18" s="60">
        <v>1527</v>
      </c>
      <c r="E18" s="60"/>
      <c r="F18" s="60">
        <v>336</v>
      </c>
      <c r="G18" s="60"/>
      <c r="H18" s="60"/>
      <c r="I18" s="60"/>
      <c r="J18" s="60">
        <f t="shared" si="0"/>
        <v>1863</v>
      </c>
      <c r="K18" s="65" t="s">
        <v>336</v>
      </c>
    </row>
    <row r="19" spans="1:11" s="58" customFormat="1" ht="22.5" customHeight="1">
      <c r="A19" s="62" t="s">
        <v>25</v>
      </c>
      <c r="B19" s="61"/>
      <c r="C19" s="61"/>
      <c r="D19" s="60">
        <v>1677</v>
      </c>
      <c r="E19" s="60"/>
      <c r="F19" s="60">
        <v>368</v>
      </c>
      <c r="G19" s="60"/>
      <c r="H19" s="60"/>
      <c r="I19" s="60"/>
      <c r="J19" s="60">
        <f t="shared" si="0"/>
        <v>2045</v>
      </c>
      <c r="K19" s="65" t="s">
        <v>336</v>
      </c>
    </row>
    <row r="20" spans="1:11" s="58" customFormat="1" ht="22.5" customHeight="1">
      <c r="A20" s="62" t="s">
        <v>24</v>
      </c>
      <c r="B20" s="61"/>
      <c r="C20" s="61"/>
      <c r="D20" s="60">
        <v>1845</v>
      </c>
      <c r="E20" s="60"/>
      <c r="F20" s="60">
        <v>405</v>
      </c>
      <c r="G20" s="60"/>
      <c r="H20" s="60"/>
      <c r="I20" s="60"/>
      <c r="J20" s="60">
        <f t="shared" si="0"/>
        <v>2250</v>
      </c>
      <c r="K20" s="65" t="s">
        <v>336</v>
      </c>
    </row>
    <row r="21" ht="12.75">
      <c r="A21" s="57" t="s">
        <v>335</v>
      </c>
    </row>
    <row r="22" ht="12.75">
      <c r="A22" s="56" t="s">
        <v>334</v>
      </c>
    </row>
  </sheetData>
  <sheetProtection/>
  <mergeCells count="11">
    <mergeCell ref="H4:I4"/>
    <mergeCell ref="J4:K4"/>
    <mergeCell ref="A1:K1"/>
    <mergeCell ref="A2:K2"/>
    <mergeCell ref="A3:I3"/>
    <mergeCell ref="J3:K3"/>
    <mergeCell ref="A4:A5"/>
    <mergeCell ref="B4:B5"/>
    <mergeCell ref="C4:C5"/>
    <mergeCell ref="D4:E4"/>
    <mergeCell ref="F4:G4"/>
  </mergeCells>
  <printOptions horizontalCentered="1"/>
  <pageMargins left="0.551181102362205" right="0.590551181102362" top="0.669291338582677" bottom="0.866141732283465" header="0.511811023622047" footer="0.511811023622047"/>
  <pageSetup firstPageNumber="110" useFirstPageNumber="1" horizontalDpi="600" verticalDpi="600" orientation="landscape"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K20"/>
  <sheetViews>
    <sheetView zoomScalePageLayoutView="0" workbookViewId="0" topLeftCell="A7">
      <selection activeCell="P7" sqref="P7"/>
    </sheetView>
  </sheetViews>
  <sheetFormatPr defaultColWidth="9.140625" defaultRowHeight="15"/>
  <cols>
    <col min="1" max="3" width="10.7109375" style="1" customWidth="1"/>
    <col min="4" max="4" width="13.421875" style="1" customWidth="1"/>
    <col min="5" max="5" width="9.57421875" style="1" customWidth="1"/>
    <col min="6" max="6" width="13.140625" style="1" customWidth="1"/>
    <col min="7" max="7" width="9.8515625" style="1" customWidth="1"/>
    <col min="8" max="8" width="13.00390625" style="1" customWidth="1"/>
    <col min="9" max="9" width="11.28125" style="1" bestFit="1" customWidth="1"/>
    <col min="10" max="10" width="13.57421875" style="1" customWidth="1"/>
    <col min="11" max="11" width="11.28125" style="1" bestFit="1" customWidth="1"/>
    <col min="12" max="16384" width="9.140625" style="1" customWidth="1"/>
  </cols>
  <sheetData>
    <row r="1" spans="1:11" ht="15.75">
      <c r="A1" s="299" t="s">
        <v>359</v>
      </c>
      <c r="B1" s="299"/>
      <c r="C1" s="299"/>
      <c r="D1" s="299"/>
      <c r="E1" s="299"/>
      <c r="F1" s="299"/>
      <c r="G1" s="299"/>
      <c r="H1" s="299"/>
      <c r="I1" s="299"/>
      <c r="J1" s="299"/>
      <c r="K1" s="299"/>
    </row>
    <row r="2" spans="1:11" ht="33" customHeight="1">
      <c r="A2" s="289" t="s">
        <v>348</v>
      </c>
      <c r="B2" s="289"/>
      <c r="C2" s="289"/>
      <c r="D2" s="289"/>
      <c r="E2" s="289"/>
      <c r="F2" s="289"/>
      <c r="G2" s="289"/>
      <c r="H2" s="289"/>
      <c r="I2" s="289"/>
      <c r="J2" s="289"/>
      <c r="K2" s="289"/>
    </row>
    <row r="3" spans="1:11" ht="15.75">
      <c r="A3" s="300" t="s">
        <v>358</v>
      </c>
      <c r="B3" s="300"/>
      <c r="C3" s="300"/>
      <c r="D3" s="300"/>
      <c r="E3" s="300"/>
      <c r="F3" s="300"/>
      <c r="G3" s="300"/>
      <c r="H3" s="300"/>
      <c r="I3" s="300"/>
      <c r="J3" s="301" t="s">
        <v>357</v>
      </c>
      <c r="K3" s="301"/>
    </row>
    <row r="4" spans="1:11" ht="24.75" customHeight="1">
      <c r="A4" s="298" t="s">
        <v>345</v>
      </c>
      <c r="B4" s="298" t="s">
        <v>344</v>
      </c>
      <c r="C4" s="298" t="s">
        <v>343</v>
      </c>
      <c r="D4" s="298" t="s">
        <v>342</v>
      </c>
      <c r="E4" s="298"/>
      <c r="F4" s="298" t="s">
        <v>341</v>
      </c>
      <c r="G4" s="298"/>
      <c r="H4" s="298" t="s">
        <v>340</v>
      </c>
      <c r="I4" s="298"/>
      <c r="J4" s="298" t="s">
        <v>2</v>
      </c>
      <c r="K4" s="298"/>
    </row>
    <row r="5" spans="1:11" ht="25.5">
      <c r="A5" s="298"/>
      <c r="B5" s="298"/>
      <c r="C5" s="298"/>
      <c r="D5" s="64" t="s">
        <v>339</v>
      </c>
      <c r="E5" s="64" t="s">
        <v>338</v>
      </c>
      <c r="F5" s="64" t="s">
        <v>339</v>
      </c>
      <c r="G5" s="64" t="s">
        <v>338</v>
      </c>
      <c r="H5" s="64" t="s">
        <v>339</v>
      </c>
      <c r="I5" s="64" t="s">
        <v>338</v>
      </c>
      <c r="J5" s="64" t="s">
        <v>339</v>
      </c>
      <c r="K5" s="64" t="s">
        <v>338</v>
      </c>
    </row>
    <row r="6" spans="1:11" s="58" customFormat="1" ht="24" customHeight="1">
      <c r="A6" s="62" t="s">
        <v>36</v>
      </c>
      <c r="B6" s="61"/>
      <c r="C6" s="61"/>
      <c r="D6" s="70">
        <v>162.44</v>
      </c>
      <c r="E6" s="70">
        <v>162.44</v>
      </c>
      <c r="F6" s="70"/>
      <c r="G6" s="70"/>
      <c r="H6" s="70">
        <v>27.25</v>
      </c>
      <c r="I6" s="70">
        <v>27.25</v>
      </c>
      <c r="J6" s="70">
        <f aca="true" t="shared" si="0" ref="J6:J18">D6+F6+H6</f>
        <v>189.69</v>
      </c>
      <c r="K6" s="70">
        <f aca="true" t="shared" si="1" ref="K6:K18">E6+G6+I6</f>
        <v>189.69</v>
      </c>
    </row>
    <row r="7" spans="1:11" s="58" customFormat="1" ht="24" customHeight="1">
      <c r="A7" s="62" t="s">
        <v>35</v>
      </c>
      <c r="B7" s="61"/>
      <c r="C7" s="61"/>
      <c r="D7" s="70">
        <v>195.22</v>
      </c>
      <c r="E7" s="70">
        <v>195.22</v>
      </c>
      <c r="F7" s="70"/>
      <c r="G7" s="70"/>
      <c r="H7" s="70">
        <v>10.69</v>
      </c>
      <c r="I7" s="70">
        <v>10.69</v>
      </c>
      <c r="J7" s="70">
        <f t="shared" si="0"/>
        <v>205.91</v>
      </c>
      <c r="K7" s="70">
        <f t="shared" si="1"/>
        <v>205.91</v>
      </c>
    </row>
    <row r="8" spans="1:11" s="58" customFormat="1" ht="24" customHeight="1">
      <c r="A8" s="62" t="s">
        <v>34</v>
      </c>
      <c r="B8" s="61"/>
      <c r="C8" s="61"/>
      <c r="D8" s="70">
        <v>221.63</v>
      </c>
      <c r="E8" s="70">
        <v>221.63</v>
      </c>
      <c r="F8" s="70"/>
      <c r="G8" s="70"/>
      <c r="H8" s="70">
        <v>13.16</v>
      </c>
      <c r="I8" s="70">
        <v>13.16</v>
      </c>
      <c r="J8" s="70">
        <f t="shared" si="0"/>
        <v>234.79</v>
      </c>
      <c r="K8" s="70">
        <f t="shared" si="1"/>
        <v>234.79</v>
      </c>
    </row>
    <row r="9" spans="1:11" s="58" customFormat="1" ht="24" customHeight="1">
      <c r="A9" s="62" t="s">
        <v>33</v>
      </c>
      <c r="B9" s="61"/>
      <c r="C9" s="61"/>
      <c r="D9" s="70">
        <v>145.2</v>
      </c>
      <c r="E9" s="70">
        <v>145.2</v>
      </c>
      <c r="F9" s="70"/>
      <c r="G9" s="70"/>
      <c r="H9" s="70">
        <v>374.52</v>
      </c>
      <c r="I9" s="70">
        <v>374.52</v>
      </c>
      <c r="J9" s="70">
        <f t="shared" si="0"/>
        <v>519.72</v>
      </c>
      <c r="K9" s="70">
        <f t="shared" si="1"/>
        <v>519.72</v>
      </c>
    </row>
    <row r="10" spans="1:11" s="58" customFormat="1" ht="24" customHeight="1">
      <c r="A10" s="62" t="s">
        <v>32</v>
      </c>
      <c r="B10" s="61"/>
      <c r="C10" s="61"/>
      <c r="D10" s="70">
        <v>165.17</v>
      </c>
      <c r="E10" s="70">
        <v>165.17</v>
      </c>
      <c r="F10" s="70">
        <v>129.44</v>
      </c>
      <c r="G10" s="70">
        <v>129.44</v>
      </c>
      <c r="H10" s="70">
        <v>499.02</v>
      </c>
      <c r="I10" s="70">
        <v>499.02</v>
      </c>
      <c r="J10" s="70">
        <f t="shared" si="0"/>
        <v>793.63</v>
      </c>
      <c r="K10" s="70">
        <f t="shared" si="1"/>
        <v>793.63</v>
      </c>
    </row>
    <row r="11" spans="1:11" s="58" customFormat="1" ht="24" customHeight="1">
      <c r="A11" s="62" t="s">
        <v>31</v>
      </c>
      <c r="B11" s="61"/>
      <c r="C11" s="61"/>
      <c r="D11" s="69">
        <v>191.14</v>
      </c>
      <c r="E11" s="69">
        <v>191.14</v>
      </c>
      <c r="F11" s="69">
        <v>127.56</v>
      </c>
      <c r="G11" s="69">
        <v>127.56</v>
      </c>
      <c r="H11" s="69">
        <v>642.15</v>
      </c>
      <c r="I11" s="69">
        <v>464.86</v>
      </c>
      <c r="J11" s="69">
        <f t="shared" si="0"/>
        <v>960.8499999999999</v>
      </c>
      <c r="K11" s="69">
        <f t="shared" si="1"/>
        <v>783.56</v>
      </c>
    </row>
    <row r="12" spans="1:11" s="58" customFormat="1" ht="24" customHeight="1">
      <c r="A12" s="62" t="s">
        <v>30</v>
      </c>
      <c r="B12" s="61"/>
      <c r="C12" s="61"/>
      <c r="D12" s="69">
        <v>199.27</v>
      </c>
      <c r="E12" s="69">
        <v>199.27</v>
      </c>
      <c r="F12" s="69">
        <v>123.76</v>
      </c>
      <c r="G12" s="69">
        <v>123.76</v>
      </c>
      <c r="H12" s="69">
        <v>740.39</v>
      </c>
      <c r="I12" s="69">
        <v>740.39</v>
      </c>
      <c r="J12" s="69">
        <f t="shared" si="0"/>
        <v>1063.42</v>
      </c>
      <c r="K12" s="69">
        <f t="shared" si="1"/>
        <v>1063.42</v>
      </c>
    </row>
    <row r="13" spans="1:11" s="58" customFormat="1" ht="24" customHeight="1">
      <c r="A13" s="62" t="s">
        <v>29</v>
      </c>
      <c r="B13" s="61"/>
      <c r="C13" s="61"/>
      <c r="D13" s="69">
        <v>290.35</v>
      </c>
      <c r="E13" s="69">
        <v>290.35</v>
      </c>
      <c r="F13" s="69">
        <v>117.63</v>
      </c>
      <c r="G13" s="69">
        <v>117.63</v>
      </c>
      <c r="H13" s="69">
        <v>993.47</v>
      </c>
      <c r="I13" s="69">
        <v>993.47</v>
      </c>
      <c r="J13" s="69">
        <f t="shared" si="0"/>
        <v>1401.45</v>
      </c>
      <c r="K13" s="69">
        <f t="shared" si="1"/>
        <v>1401.45</v>
      </c>
    </row>
    <row r="14" spans="1:11" s="58" customFormat="1" ht="24" customHeight="1">
      <c r="A14" s="62" t="s">
        <v>28</v>
      </c>
      <c r="B14" s="61"/>
      <c r="C14" s="61"/>
      <c r="D14" s="69">
        <v>574.87</v>
      </c>
      <c r="E14" s="69">
        <v>574.87</v>
      </c>
      <c r="F14" s="69"/>
      <c r="G14" s="69"/>
      <c r="H14" s="69"/>
      <c r="I14" s="69"/>
      <c r="J14" s="69">
        <f t="shared" si="0"/>
        <v>574.87</v>
      </c>
      <c r="K14" s="69">
        <f t="shared" si="1"/>
        <v>574.87</v>
      </c>
    </row>
    <row r="15" spans="1:11" s="58" customFormat="1" ht="24" customHeight="1">
      <c r="A15" s="62" t="s">
        <v>27</v>
      </c>
      <c r="B15" s="61"/>
      <c r="C15" s="61"/>
      <c r="D15" s="69">
        <v>628.83</v>
      </c>
      <c r="E15" s="69">
        <v>628.83</v>
      </c>
      <c r="F15" s="69"/>
      <c r="G15" s="69"/>
      <c r="H15" s="69"/>
      <c r="I15" s="69"/>
      <c r="J15" s="69">
        <f t="shared" si="0"/>
        <v>628.83</v>
      </c>
      <c r="K15" s="69">
        <f t="shared" si="1"/>
        <v>628.83</v>
      </c>
    </row>
    <row r="16" spans="1:11" s="58" customFormat="1" ht="24" customHeight="1">
      <c r="A16" s="62" t="s">
        <v>26</v>
      </c>
      <c r="B16" s="61"/>
      <c r="C16" s="61"/>
      <c r="D16" s="69">
        <v>689.24</v>
      </c>
      <c r="E16" s="69">
        <v>689.24</v>
      </c>
      <c r="F16" s="69"/>
      <c r="G16" s="69"/>
      <c r="H16" s="69"/>
      <c r="I16" s="69"/>
      <c r="J16" s="69">
        <f t="shared" si="0"/>
        <v>689.24</v>
      </c>
      <c r="K16" s="69">
        <f t="shared" si="1"/>
        <v>689.24</v>
      </c>
    </row>
    <row r="17" spans="1:11" s="58" customFormat="1" ht="24" customHeight="1">
      <c r="A17" s="62" t="s">
        <v>25</v>
      </c>
      <c r="B17" s="61"/>
      <c r="C17" s="61"/>
      <c r="D17" s="69">
        <v>756.91</v>
      </c>
      <c r="E17" s="69">
        <v>756.91</v>
      </c>
      <c r="F17" s="69"/>
      <c r="G17" s="69"/>
      <c r="H17" s="69"/>
      <c r="I17" s="69"/>
      <c r="J17" s="69">
        <f t="shared" si="0"/>
        <v>756.91</v>
      </c>
      <c r="K17" s="69">
        <f t="shared" si="1"/>
        <v>756.91</v>
      </c>
    </row>
    <row r="18" spans="1:11" s="58" customFormat="1" ht="24" customHeight="1">
      <c r="A18" s="62" t="s">
        <v>24</v>
      </c>
      <c r="B18" s="61"/>
      <c r="C18" s="61"/>
      <c r="D18" s="69">
        <v>832.8</v>
      </c>
      <c r="E18" s="69">
        <v>832.8</v>
      </c>
      <c r="F18" s="69"/>
      <c r="G18" s="69"/>
      <c r="H18" s="69"/>
      <c r="I18" s="69"/>
      <c r="J18" s="69">
        <f t="shared" si="0"/>
        <v>832.8</v>
      </c>
      <c r="K18" s="69">
        <f t="shared" si="1"/>
        <v>832.8</v>
      </c>
    </row>
    <row r="19" ht="12.75">
      <c r="A19" s="68" t="s">
        <v>335</v>
      </c>
    </row>
    <row r="20" ht="12.75">
      <c r="A20" s="56" t="s">
        <v>334</v>
      </c>
    </row>
  </sheetData>
  <sheetProtection/>
  <mergeCells count="11">
    <mergeCell ref="H4:I4"/>
    <mergeCell ref="J4:K4"/>
    <mergeCell ref="A1:K1"/>
    <mergeCell ref="A2:K2"/>
    <mergeCell ref="A3:I3"/>
    <mergeCell ref="J3:K3"/>
    <mergeCell ref="A4:A5"/>
    <mergeCell ref="B4:B5"/>
    <mergeCell ref="C4:C5"/>
    <mergeCell ref="D4:E4"/>
    <mergeCell ref="F4:G4"/>
  </mergeCells>
  <printOptions horizontalCentered="1"/>
  <pageMargins left="0.551181102362205" right="0.590551181102362" top="0.669291338582677" bottom="0.866141732283465" header="0.511811023622047" footer="0.511811023622047"/>
  <pageSetup firstPageNumber="111" useFirstPageNumber="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K20"/>
  <sheetViews>
    <sheetView zoomScalePageLayoutView="0" workbookViewId="0" topLeftCell="A1">
      <selection activeCell="P7" sqref="P7"/>
    </sheetView>
  </sheetViews>
  <sheetFormatPr defaultColWidth="9.140625" defaultRowHeight="15"/>
  <cols>
    <col min="1" max="1" width="10.7109375" style="71" customWidth="1"/>
    <col min="2" max="3" width="12.7109375" style="71" customWidth="1"/>
    <col min="4" max="4" width="13.28125" style="71" customWidth="1"/>
    <col min="5" max="5" width="9.421875" style="71" customWidth="1"/>
    <col min="6" max="6" width="14.00390625" style="71" customWidth="1"/>
    <col min="7" max="7" width="10.00390625" style="71" customWidth="1"/>
    <col min="8" max="8" width="13.421875" style="71" customWidth="1"/>
    <col min="9" max="9" width="8.7109375" style="71" customWidth="1"/>
    <col min="10" max="10" width="13.421875" style="71" customWidth="1"/>
    <col min="11" max="11" width="8.7109375" style="71" customWidth="1"/>
    <col min="12" max="16384" width="9.140625" style="71" customWidth="1"/>
  </cols>
  <sheetData>
    <row r="1" spans="1:11" ht="15.75">
      <c r="A1" s="315" t="s">
        <v>361</v>
      </c>
      <c r="B1" s="315"/>
      <c r="C1" s="315"/>
      <c r="D1" s="315"/>
      <c r="E1" s="315"/>
      <c r="F1" s="315"/>
      <c r="G1" s="315"/>
      <c r="H1" s="315"/>
      <c r="I1" s="315"/>
      <c r="J1" s="315"/>
      <c r="K1" s="315"/>
    </row>
    <row r="2" spans="1:11" ht="33" customHeight="1">
      <c r="A2" s="316" t="s">
        <v>348</v>
      </c>
      <c r="B2" s="316"/>
      <c r="C2" s="316"/>
      <c r="D2" s="316"/>
      <c r="E2" s="316"/>
      <c r="F2" s="316"/>
      <c r="G2" s="316"/>
      <c r="H2" s="316"/>
      <c r="I2" s="316"/>
      <c r="J2" s="316"/>
      <c r="K2" s="316"/>
    </row>
    <row r="3" spans="1:11" ht="24" customHeight="1">
      <c r="A3" s="317" t="s">
        <v>360</v>
      </c>
      <c r="B3" s="317"/>
      <c r="C3" s="317"/>
      <c r="D3" s="317"/>
      <c r="E3" s="317"/>
      <c r="F3" s="317"/>
      <c r="G3" s="317"/>
      <c r="H3" s="317"/>
      <c r="I3" s="317"/>
      <c r="J3" s="318" t="s">
        <v>354</v>
      </c>
      <c r="K3" s="318"/>
    </row>
    <row r="4" spans="1:11" ht="24" customHeight="1">
      <c r="A4" s="314" t="s">
        <v>345</v>
      </c>
      <c r="B4" s="314" t="s">
        <v>344</v>
      </c>
      <c r="C4" s="314" t="s">
        <v>343</v>
      </c>
      <c r="D4" s="314" t="s">
        <v>342</v>
      </c>
      <c r="E4" s="314"/>
      <c r="F4" s="314" t="s">
        <v>341</v>
      </c>
      <c r="G4" s="314"/>
      <c r="H4" s="314" t="s">
        <v>340</v>
      </c>
      <c r="I4" s="314"/>
      <c r="J4" s="314" t="s">
        <v>2</v>
      </c>
      <c r="K4" s="314"/>
    </row>
    <row r="5" spans="1:11" ht="25.5">
      <c r="A5" s="314"/>
      <c r="B5" s="314"/>
      <c r="C5" s="314"/>
      <c r="D5" s="76" t="s">
        <v>339</v>
      </c>
      <c r="E5" s="76" t="s">
        <v>338</v>
      </c>
      <c r="F5" s="76" t="s">
        <v>339</v>
      </c>
      <c r="G5" s="76" t="s">
        <v>338</v>
      </c>
      <c r="H5" s="76" t="s">
        <v>339</v>
      </c>
      <c r="I5" s="76" t="s">
        <v>338</v>
      </c>
      <c r="J5" s="76" t="s">
        <v>339</v>
      </c>
      <c r="K5" s="76" t="s">
        <v>338</v>
      </c>
    </row>
    <row r="6" spans="1:11" ht="23.25" customHeight="1">
      <c r="A6" s="75" t="s">
        <v>36</v>
      </c>
      <c r="B6" s="74"/>
      <c r="C6" s="74"/>
      <c r="D6" s="74">
        <v>34.46</v>
      </c>
      <c r="E6" s="74">
        <v>34.46</v>
      </c>
      <c r="F6" s="74"/>
      <c r="G6" s="74"/>
      <c r="H6" s="74">
        <v>5.79</v>
      </c>
      <c r="I6" s="74">
        <v>5.79</v>
      </c>
      <c r="J6" s="74">
        <v>40.25</v>
      </c>
      <c r="K6" s="74">
        <v>40.25</v>
      </c>
    </row>
    <row r="7" spans="1:11" ht="23.25" customHeight="1">
      <c r="A7" s="75" t="s">
        <v>35</v>
      </c>
      <c r="B7" s="74"/>
      <c r="C7" s="74"/>
      <c r="D7" s="74">
        <v>41.42</v>
      </c>
      <c r="E7" s="74">
        <v>41.42</v>
      </c>
      <c r="F7" s="74"/>
      <c r="G7" s="74"/>
      <c r="H7" s="74">
        <v>2.27</v>
      </c>
      <c r="I7" s="74">
        <v>2.27</v>
      </c>
      <c r="J7" s="74">
        <v>43.69</v>
      </c>
      <c r="K7" s="74">
        <v>43.69</v>
      </c>
    </row>
    <row r="8" spans="1:11" ht="23.25" customHeight="1">
      <c r="A8" s="75" t="s">
        <v>34</v>
      </c>
      <c r="B8" s="74"/>
      <c r="C8" s="74"/>
      <c r="D8" s="74">
        <v>47.03</v>
      </c>
      <c r="E8" s="74">
        <v>47.03</v>
      </c>
      <c r="F8" s="74"/>
      <c r="G8" s="74"/>
      <c r="H8" s="74">
        <v>2.8</v>
      </c>
      <c r="I8" s="74">
        <v>2.8</v>
      </c>
      <c r="J8" s="74">
        <v>49.83</v>
      </c>
      <c r="K8" s="74">
        <v>49.83</v>
      </c>
    </row>
    <row r="9" spans="1:11" ht="23.25" customHeight="1">
      <c r="A9" s="75" t="s">
        <v>33</v>
      </c>
      <c r="B9" s="74"/>
      <c r="C9" s="74"/>
      <c r="D9" s="74">
        <v>40.89</v>
      </c>
      <c r="E9" s="74">
        <v>40.89</v>
      </c>
      <c r="F9" s="74"/>
      <c r="G9" s="74"/>
      <c r="H9" s="74">
        <v>261.8</v>
      </c>
      <c r="I9" s="74">
        <v>261.8</v>
      </c>
      <c r="J9" s="74">
        <v>302.69</v>
      </c>
      <c r="K9" s="74">
        <v>302.69</v>
      </c>
    </row>
    <row r="10" spans="1:11" ht="23.25" customHeight="1">
      <c r="A10" s="75" t="s">
        <v>32</v>
      </c>
      <c r="B10" s="74"/>
      <c r="C10" s="74"/>
      <c r="D10" s="74">
        <v>46.52</v>
      </c>
      <c r="E10" s="74">
        <v>46.52</v>
      </c>
      <c r="F10" s="74">
        <v>25.76</v>
      </c>
      <c r="G10" s="74">
        <v>25.76</v>
      </c>
      <c r="H10" s="74">
        <v>140.53</v>
      </c>
      <c r="I10" s="74">
        <v>140.53</v>
      </c>
      <c r="J10" s="74">
        <v>212.81</v>
      </c>
      <c r="K10" s="74">
        <v>212.81</v>
      </c>
    </row>
    <row r="11" spans="1:11" ht="23.25" customHeight="1">
      <c r="A11" s="75" t="s">
        <v>31</v>
      </c>
      <c r="B11" s="74"/>
      <c r="C11" s="74"/>
      <c r="D11" s="74">
        <v>53.82</v>
      </c>
      <c r="E11" s="74">
        <v>53.82</v>
      </c>
      <c r="F11" s="74">
        <v>33.42</v>
      </c>
      <c r="G11" s="74">
        <v>33.42</v>
      </c>
      <c r="H11" s="74">
        <v>180.84</v>
      </c>
      <c r="I11" s="74">
        <v>130.92</v>
      </c>
      <c r="J11" s="74">
        <v>268.08</v>
      </c>
      <c r="K11" s="74">
        <v>218.16</v>
      </c>
    </row>
    <row r="12" spans="1:11" ht="23.25" customHeight="1">
      <c r="A12" s="75" t="s">
        <v>30</v>
      </c>
      <c r="B12" s="74"/>
      <c r="C12" s="74"/>
      <c r="D12" s="73">
        <v>56.12</v>
      </c>
      <c r="E12" s="73">
        <v>56.12</v>
      </c>
      <c r="F12" s="73">
        <v>32.43</v>
      </c>
      <c r="G12" s="73">
        <v>32.43</v>
      </c>
      <c r="H12" s="73">
        <v>208.51</v>
      </c>
      <c r="I12" s="73">
        <v>208.51</v>
      </c>
      <c r="J12" s="73">
        <v>297.06</v>
      </c>
      <c r="K12" s="73">
        <v>297.06</v>
      </c>
    </row>
    <row r="13" spans="1:11" ht="23.25" customHeight="1">
      <c r="A13" s="75" t="s">
        <v>29</v>
      </c>
      <c r="B13" s="74"/>
      <c r="C13" s="74"/>
      <c r="D13" s="73">
        <v>81.77</v>
      </c>
      <c r="E13" s="73">
        <v>81.77</v>
      </c>
      <c r="F13" s="73">
        <v>30.81</v>
      </c>
      <c r="G13" s="73">
        <v>30.81</v>
      </c>
      <c r="H13" s="73">
        <v>253.78</v>
      </c>
      <c r="I13" s="73">
        <v>253.78</v>
      </c>
      <c r="J13" s="73">
        <v>366.36</v>
      </c>
      <c r="K13" s="73">
        <v>366.36</v>
      </c>
    </row>
    <row r="14" spans="1:11" ht="23.25" customHeight="1">
      <c r="A14" s="75" t="s">
        <v>28</v>
      </c>
      <c r="B14" s="74"/>
      <c r="C14" s="74"/>
      <c r="D14" s="73">
        <v>144.52</v>
      </c>
      <c r="E14" s="73">
        <v>144.52</v>
      </c>
      <c r="F14" s="73">
        <v>8.59</v>
      </c>
      <c r="G14" s="73">
        <v>8.59</v>
      </c>
      <c r="H14" s="73"/>
      <c r="I14" s="73"/>
      <c r="J14" s="73">
        <v>153.11</v>
      </c>
      <c r="K14" s="73">
        <v>153.11</v>
      </c>
    </row>
    <row r="15" spans="1:11" ht="23.25" customHeight="1">
      <c r="A15" s="75" t="s">
        <v>27</v>
      </c>
      <c r="B15" s="74"/>
      <c r="C15" s="74"/>
      <c r="D15" s="73">
        <v>158.09</v>
      </c>
      <c r="E15" s="73">
        <v>158.09</v>
      </c>
      <c r="F15" s="73">
        <v>9.4</v>
      </c>
      <c r="G15" s="73">
        <v>9.4</v>
      </c>
      <c r="H15" s="73"/>
      <c r="I15" s="73"/>
      <c r="J15" s="73">
        <v>167.49</v>
      </c>
      <c r="K15" s="73">
        <v>167.49</v>
      </c>
    </row>
    <row r="16" spans="1:11" ht="23.25" customHeight="1">
      <c r="A16" s="75" t="s">
        <v>26</v>
      </c>
      <c r="B16" s="74"/>
      <c r="C16" s="74"/>
      <c r="D16" s="73">
        <v>173.28</v>
      </c>
      <c r="E16" s="73">
        <v>173.28</v>
      </c>
      <c r="F16" s="73">
        <v>10.3</v>
      </c>
      <c r="G16" s="73">
        <v>10.3</v>
      </c>
      <c r="H16" s="73"/>
      <c r="I16" s="73"/>
      <c r="J16" s="73">
        <v>183.58</v>
      </c>
      <c r="K16" s="73">
        <v>183.58</v>
      </c>
    </row>
    <row r="17" spans="1:11" ht="23.25" customHeight="1">
      <c r="A17" s="75" t="s">
        <v>25</v>
      </c>
      <c r="B17" s="74"/>
      <c r="C17" s="74"/>
      <c r="D17" s="73">
        <v>190.3</v>
      </c>
      <c r="E17" s="73">
        <v>190.3</v>
      </c>
      <c r="F17" s="73">
        <v>11.31</v>
      </c>
      <c r="G17" s="73">
        <v>11.31</v>
      </c>
      <c r="H17" s="73"/>
      <c r="I17" s="73"/>
      <c r="J17" s="73">
        <v>201.61</v>
      </c>
      <c r="K17" s="73">
        <v>201.61</v>
      </c>
    </row>
    <row r="18" spans="1:11" ht="23.25" customHeight="1">
      <c r="A18" s="75" t="s">
        <v>24</v>
      </c>
      <c r="B18" s="74"/>
      <c r="C18" s="74"/>
      <c r="D18" s="73">
        <v>209.36</v>
      </c>
      <c r="E18" s="73">
        <v>209.36</v>
      </c>
      <c r="F18" s="73">
        <v>12.45</v>
      </c>
      <c r="G18" s="73">
        <v>12.45</v>
      </c>
      <c r="H18" s="73"/>
      <c r="I18" s="73"/>
      <c r="J18" s="73">
        <v>221.81</v>
      </c>
      <c r="K18" s="73">
        <v>221.81</v>
      </c>
    </row>
    <row r="19" ht="12.75">
      <c r="A19" s="68" t="s">
        <v>335</v>
      </c>
    </row>
    <row r="20" ht="12.75">
      <c r="A20" s="72" t="s">
        <v>334</v>
      </c>
    </row>
  </sheetData>
  <sheetProtection/>
  <mergeCells count="11">
    <mergeCell ref="H4:I4"/>
    <mergeCell ref="J4:K4"/>
    <mergeCell ref="A1:K1"/>
    <mergeCell ref="A2:K2"/>
    <mergeCell ref="A3:I3"/>
    <mergeCell ref="J3:K3"/>
    <mergeCell ref="A4:A5"/>
    <mergeCell ref="B4:B5"/>
    <mergeCell ref="C4:C5"/>
    <mergeCell ref="D4:E4"/>
    <mergeCell ref="F4:G4"/>
  </mergeCells>
  <printOptions horizontalCentered="1"/>
  <pageMargins left="0.551181102362205" right="0.590551181102362" top="0.669291338582677" bottom="0.866141732283465" header="0.511811023622047" footer="0.511811023622047"/>
  <pageSetup firstPageNumber="112" useFirstPageNumber="1" horizontalDpi="600" verticalDpi="600" orientation="landscape"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K20"/>
  <sheetViews>
    <sheetView zoomScalePageLayoutView="0" workbookViewId="0" topLeftCell="A1">
      <selection activeCell="P7" sqref="P7"/>
    </sheetView>
  </sheetViews>
  <sheetFormatPr defaultColWidth="9.140625" defaultRowHeight="15"/>
  <cols>
    <col min="1" max="1" width="10.7109375" style="71" customWidth="1"/>
    <col min="2" max="3" width="12.7109375" style="71" customWidth="1"/>
    <col min="4" max="4" width="13.28125" style="71" customWidth="1"/>
    <col min="5" max="5" width="9.421875" style="71" customWidth="1"/>
    <col min="6" max="6" width="14.00390625" style="71" customWidth="1"/>
    <col min="7" max="7" width="10.00390625" style="71" customWidth="1"/>
    <col min="8" max="8" width="13.421875" style="71" customWidth="1"/>
    <col min="9" max="9" width="8.7109375" style="71" customWidth="1"/>
    <col min="10" max="10" width="13.421875" style="71" customWidth="1"/>
    <col min="11" max="11" width="8.7109375" style="71" customWidth="1"/>
    <col min="12" max="16384" width="9.140625" style="71" customWidth="1"/>
  </cols>
  <sheetData>
    <row r="1" spans="1:11" ht="15.75">
      <c r="A1" s="315" t="s">
        <v>363</v>
      </c>
      <c r="B1" s="315"/>
      <c r="C1" s="315"/>
      <c r="D1" s="315"/>
      <c r="E1" s="315"/>
      <c r="F1" s="315"/>
      <c r="G1" s="315"/>
      <c r="H1" s="315"/>
      <c r="I1" s="315"/>
      <c r="J1" s="315"/>
      <c r="K1" s="315"/>
    </row>
    <row r="2" spans="1:11" ht="39" customHeight="1">
      <c r="A2" s="316" t="s">
        <v>348</v>
      </c>
      <c r="B2" s="316"/>
      <c r="C2" s="316"/>
      <c r="D2" s="316"/>
      <c r="E2" s="316"/>
      <c r="F2" s="316"/>
      <c r="G2" s="316"/>
      <c r="H2" s="316"/>
      <c r="I2" s="316"/>
      <c r="J2" s="316"/>
      <c r="K2" s="316"/>
    </row>
    <row r="3" spans="1:11" ht="15.75">
      <c r="A3" s="319" t="s">
        <v>362</v>
      </c>
      <c r="B3" s="319"/>
      <c r="C3" s="319"/>
      <c r="D3" s="319"/>
      <c r="E3" s="319"/>
      <c r="F3" s="319"/>
      <c r="G3" s="319"/>
      <c r="H3" s="319"/>
      <c r="I3" s="319"/>
      <c r="J3" s="320" t="s">
        <v>354</v>
      </c>
      <c r="K3" s="320"/>
    </row>
    <row r="4" spans="1:11" ht="23.25" customHeight="1">
      <c r="A4" s="314" t="s">
        <v>345</v>
      </c>
      <c r="B4" s="314" t="s">
        <v>344</v>
      </c>
      <c r="C4" s="314" t="s">
        <v>343</v>
      </c>
      <c r="D4" s="314" t="s">
        <v>342</v>
      </c>
      <c r="E4" s="314"/>
      <c r="F4" s="314" t="s">
        <v>341</v>
      </c>
      <c r="G4" s="314"/>
      <c r="H4" s="314" t="s">
        <v>340</v>
      </c>
      <c r="I4" s="314"/>
      <c r="J4" s="314" t="s">
        <v>2</v>
      </c>
      <c r="K4" s="314"/>
    </row>
    <row r="5" spans="1:11" ht="25.5">
      <c r="A5" s="314"/>
      <c r="B5" s="314"/>
      <c r="C5" s="314"/>
      <c r="D5" s="76" t="s">
        <v>339</v>
      </c>
      <c r="E5" s="76" t="s">
        <v>338</v>
      </c>
      <c r="F5" s="76" t="s">
        <v>339</v>
      </c>
      <c r="G5" s="76" t="s">
        <v>338</v>
      </c>
      <c r="H5" s="76" t="s">
        <v>339</v>
      </c>
      <c r="I5" s="76" t="s">
        <v>338</v>
      </c>
      <c r="J5" s="76" t="s">
        <v>339</v>
      </c>
      <c r="K5" s="76" t="s">
        <v>338</v>
      </c>
    </row>
    <row r="6" spans="1:11" ht="23.25" customHeight="1">
      <c r="A6" s="75" t="s">
        <v>36</v>
      </c>
      <c r="B6" s="74"/>
      <c r="C6" s="74"/>
      <c r="D6" s="74">
        <v>78.18</v>
      </c>
      <c r="E6" s="74">
        <v>78.18</v>
      </c>
      <c r="F6" s="74"/>
      <c r="G6" s="74"/>
      <c r="H6" s="74">
        <v>13.13</v>
      </c>
      <c r="I6" s="74">
        <v>13.13</v>
      </c>
      <c r="J6" s="74">
        <v>91.31</v>
      </c>
      <c r="K6" s="74">
        <v>91.31</v>
      </c>
    </row>
    <row r="7" spans="1:11" ht="23.25" customHeight="1">
      <c r="A7" s="75" t="s">
        <v>35</v>
      </c>
      <c r="B7" s="74"/>
      <c r="C7" s="74"/>
      <c r="D7" s="74">
        <v>93.96</v>
      </c>
      <c r="E7" s="74">
        <v>93.96</v>
      </c>
      <c r="F7" s="74"/>
      <c r="G7" s="74"/>
      <c r="H7" s="74">
        <v>5.16</v>
      </c>
      <c r="I7" s="74">
        <v>5.16</v>
      </c>
      <c r="J7" s="74">
        <v>99.12</v>
      </c>
      <c r="K7" s="74">
        <v>99.12</v>
      </c>
    </row>
    <row r="8" spans="1:11" ht="23.25" customHeight="1">
      <c r="A8" s="75" t="s">
        <v>34</v>
      </c>
      <c r="B8" s="74"/>
      <c r="C8" s="74"/>
      <c r="D8" s="74">
        <v>106.66</v>
      </c>
      <c r="E8" s="74">
        <v>106.66</v>
      </c>
      <c r="F8" s="74"/>
      <c r="G8" s="74"/>
      <c r="H8" s="74">
        <v>6.34</v>
      </c>
      <c r="I8" s="74">
        <v>6.34</v>
      </c>
      <c r="J8" s="74">
        <v>113</v>
      </c>
      <c r="K8" s="74">
        <v>113</v>
      </c>
    </row>
    <row r="9" spans="1:11" ht="23.25" customHeight="1">
      <c r="A9" s="75" t="s">
        <v>33</v>
      </c>
      <c r="B9" s="74"/>
      <c r="C9" s="74"/>
      <c r="D9" s="74">
        <v>37.09</v>
      </c>
      <c r="E9" s="74">
        <v>37.09</v>
      </c>
      <c r="F9" s="74"/>
      <c r="G9" s="74"/>
      <c r="H9" s="74">
        <v>239.62</v>
      </c>
      <c r="I9" s="74">
        <v>239.62</v>
      </c>
      <c r="J9" s="74">
        <v>276.71</v>
      </c>
      <c r="K9" s="74">
        <v>276.71</v>
      </c>
    </row>
    <row r="10" spans="1:11" ht="23.25" customHeight="1">
      <c r="A10" s="75" t="s">
        <v>32</v>
      </c>
      <c r="B10" s="74"/>
      <c r="C10" s="74"/>
      <c r="D10" s="74">
        <v>42.18</v>
      </c>
      <c r="E10" s="74">
        <v>42.18</v>
      </c>
      <c r="F10" s="74">
        <v>32.07</v>
      </c>
      <c r="G10" s="74">
        <v>32.07</v>
      </c>
      <c r="H10" s="74">
        <v>127.45</v>
      </c>
      <c r="I10" s="74">
        <v>127.45</v>
      </c>
      <c r="J10" s="74">
        <v>201.7</v>
      </c>
      <c r="K10" s="74">
        <v>201.7</v>
      </c>
    </row>
    <row r="11" spans="1:11" ht="23.25" customHeight="1">
      <c r="A11" s="75" t="s">
        <v>31</v>
      </c>
      <c r="B11" s="74"/>
      <c r="C11" s="74"/>
      <c r="D11" s="74">
        <v>48.82</v>
      </c>
      <c r="E11" s="74">
        <v>48.82</v>
      </c>
      <c r="F11" s="74">
        <v>31.6</v>
      </c>
      <c r="G11" s="74">
        <v>31.6</v>
      </c>
      <c r="H11" s="74">
        <v>164.01</v>
      </c>
      <c r="I11" s="74">
        <v>118.73</v>
      </c>
      <c r="J11" s="74">
        <v>244.43</v>
      </c>
      <c r="K11" s="74">
        <v>199.15</v>
      </c>
    </row>
    <row r="12" spans="1:11" ht="23.25" customHeight="1">
      <c r="A12" s="75" t="s">
        <v>30</v>
      </c>
      <c r="B12" s="74"/>
      <c r="C12" s="74"/>
      <c r="D12" s="73">
        <v>48.31</v>
      </c>
      <c r="E12" s="73">
        <v>48.31</v>
      </c>
      <c r="F12" s="73">
        <v>30.67</v>
      </c>
      <c r="G12" s="73">
        <v>30.67</v>
      </c>
      <c r="H12" s="73">
        <v>189.1</v>
      </c>
      <c r="I12" s="73">
        <v>189.1</v>
      </c>
      <c r="J12" s="73">
        <v>268.08</v>
      </c>
      <c r="K12" s="73">
        <v>268.08</v>
      </c>
    </row>
    <row r="13" spans="1:11" ht="23.25" customHeight="1">
      <c r="A13" s="75" t="s">
        <v>29</v>
      </c>
      <c r="B13" s="74"/>
      <c r="C13" s="74"/>
      <c r="D13" s="73">
        <v>74.15</v>
      </c>
      <c r="E13" s="73">
        <v>74.15</v>
      </c>
      <c r="F13" s="73">
        <v>29.15</v>
      </c>
      <c r="G13" s="73">
        <v>29.15</v>
      </c>
      <c r="H13" s="73">
        <v>253.78</v>
      </c>
      <c r="I13" s="73">
        <v>253.78</v>
      </c>
      <c r="J13" s="73">
        <v>357.08</v>
      </c>
      <c r="K13" s="73">
        <v>357.08</v>
      </c>
    </row>
    <row r="14" spans="1:11" ht="23.25" customHeight="1">
      <c r="A14" s="75" t="s">
        <v>28</v>
      </c>
      <c r="B14" s="74"/>
      <c r="C14" s="74"/>
      <c r="D14" s="73">
        <v>120.16</v>
      </c>
      <c r="E14" s="73">
        <v>120.16</v>
      </c>
      <c r="F14" s="73">
        <v>22.5</v>
      </c>
      <c r="G14" s="73">
        <v>22.5</v>
      </c>
      <c r="H14" s="73"/>
      <c r="I14" s="73"/>
      <c r="J14" s="73">
        <v>142.66</v>
      </c>
      <c r="K14" s="73">
        <v>142.66</v>
      </c>
    </row>
    <row r="15" spans="1:11" ht="23.25" customHeight="1">
      <c r="A15" s="75" t="s">
        <v>27</v>
      </c>
      <c r="B15" s="74"/>
      <c r="C15" s="74"/>
      <c r="D15" s="73">
        <v>131.44</v>
      </c>
      <c r="E15" s="73">
        <v>131.44</v>
      </c>
      <c r="F15" s="73">
        <v>24.61</v>
      </c>
      <c r="G15" s="73">
        <v>24.61</v>
      </c>
      <c r="H15" s="73"/>
      <c r="I15" s="73"/>
      <c r="J15" s="73">
        <v>156.05</v>
      </c>
      <c r="K15" s="73">
        <v>156.05</v>
      </c>
    </row>
    <row r="16" spans="1:11" ht="23.25" customHeight="1">
      <c r="A16" s="75" t="s">
        <v>26</v>
      </c>
      <c r="B16" s="74"/>
      <c r="C16" s="74"/>
      <c r="D16" s="73">
        <v>144.07</v>
      </c>
      <c r="E16" s="73">
        <v>144.07</v>
      </c>
      <c r="F16" s="73">
        <v>26.98</v>
      </c>
      <c r="G16" s="73">
        <v>26.98</v>
      </c>
      <c r="H16" s="73"/>
      <c r="I16" s="73"/>
      <c r="J16" s="73">
        <v>171.05</v>
      </c>
      <c r="K16" s="73">
        <v>171.05</v>
      </c>
    </row>
    <row r="17" spans="1:11" ht="23.25" customHeight="1">
      <c r="A17" s="75" t="s">
        <v>25</v>
      </c>
      <c r="B17" s="74"/>
      <c r="C17" s="74"/>
      <c r="D17" s="73">
        <v>158.21</v>
      </c>
      <c r="E17" s="73">
        <v>158.21</v>
      </c>
      <c r="F17" s="73">
        <v>29.63</v>
      </c>
      <c r="G17" s="73">
        <v>29.63</v>
      </c>
      <c r="H17" s="73"/>
      <c r="I17" s="73"/>
      <c r="J17" s="73">
        <v>187.84</v>
      </c>
      <c r="K17" s="73">
        <v>187.84</v>
      </c>
    </row>
    <row r="18" spans="1:11" ht="23.25" customHeight="1">
      <c r="A18" s="75" t="s">
        <v>24</v>
      </c>
      <c r="B18" s="74"/>
      <c r="C18" s="74"/>
      <c r="D18" s="73">
        <v>174.08</v>
      </c>
      <c r="E18" s="73">
        <v>174.08</v>
      </c>
      <c r="F18" s="73">
        <v>32.6</v>
      </c>
      <c r="G18" s="73">
        <v>32.6</v>
      </c>
      <c r="H18" s="73"/>
      <c r="I18" s="73"/>
      <c r="J18" s="73">
        <v>206.68</v>
      </c>
      <c r="K18" s="73">
        <v>206.68</v>
      </c>
    </row>
    <row r="19" ht="12.75">
      <c r="A19" s="68" t="s">
        <v>335</v>
      </c>
    </row>
    <row r="20" ht="12.75">
      <c r="A20" s="72" t="s">
        <v>334</v>
      </c>
    </row>
  </sheetData>
  <sheetProtection/>
  <mergeCells count="11">
    <mergeCell ref="J4:K4"/>
    <mergeCell ref="A1:K1"/>
    <mergeCell ref="A2:K2"/>
    <mergeCell ref="A3:I3"/>
    <mergeCell ref="J3:K3"/>
    <mergeCell ref="A4:A5"/>
    <mergeCell ref="B4:B5"/>
    <mergeCell ref="C4:C5"/>
    <mergeCell ref="D4:E4"/>
    <mergeCell ref="F4:G4"/>
    <mergeCell ref="H4:I4"/>
  </mergeCells>
  <printOptions horizontalCentered="1"/>
  <pageMargins left="0.551181102362205" right="0.590551181102362" top="0.669291338582677" bottom="0.866141732283465" header="0.511811023622047" footer="0.511811023622047"/>
  <pageSetup firstPageNumber="113" useFirstPageNumber="1" horizontalDpi="600" verticalDpi="600" orientation="landscape"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D34"/>
  <sheetViews>
    <sheetView zoomScalePageLayoutView="0" workbookViewId="0" topLeftCell="A1">
      <selection activeCell="P7" sqref="P7"/>
    </sheetView>
  </sheetViews>
  <sheetFormatPr defaultColWidth="9.140625" defaultRowHeight="15"/>
  <cols>
    <col min="1" max="1" width="90.7109375" style="1" customWidth="1"/>
    <col min="2" max="2" width="13.28125" style="1" customWidth="1"/>
    <col min="3" max="3" width="12.8515625" style="1" bestFit="1" customWidth="1"/>
    <col min="4" max="4" width="20.421875" style="1" customWidth="1"/>
    <col min="5" max="16384" width="9.140625" style="1" customWidth="1"/>
  </cols>
  <sheetData>
    <row r="1" spans="1:4" ht="21.75" customHeight="1">
      <c r="A1" s="324" t="s">
        <v>400</v>
      </c>
      <c r="B1" s="324"/>
      <c r="C1" s="324"/>
      <c r="D1" s="324"/>
    </row>
    <row r="2" spans="1:4" ht="17.25" customHeight="1">
      <c r="A2" s="286" t="s">
        <v>399</v>
      </c>
      <c r="B2" s="286"/>
      <c r="C2" s="286"/>
      <c r="D2" s="82"/>
    </row>
    <row r="3" spans="1:4" ht="49.5" customHeight="1">
      <c r="A3" s="325" t="s">
        <v>398</v>
      </c>
      <c r="B3" s="325" t="s">
        <v>397</v>
      </c>
      <c r="C3" s="325" t="s">
        <v>396</v>
      </c>
      <c r="D3" s="325" t="s">
        <v>395</v>
      </c>
    </row>
    <row r="4" spans="1:4" ht="14.25" customHeight="1">
      <c r="A4" s="326"/>
      <c r="B4" s="326"/>
      <c r="C4" s="326"/>
      <c r="D4" s="326"/>
    </row>
    <row r="5" spans="1:4" ht="15.75">
      <c r="A5" s="81">
        <v>1</v>
      </c>
      <c r="B5" s="81">
        <v>2</v>
      </c>
      <c r="C5" s="81">
        <v>3</v>
      </c>
      <c r="D5" s="81">
        <v>4</v>
      </c>
    </row>
    <row r="6" spans="1:4" s="77" customFormat="1" ht="15" customHeight="1">
      <c r="A6" s="80" t="s">
        <v>394</v>
      </c>
      <c r="B6" s="79" t="s">
        <v>365</v>
      </c>
      <c r="C6" s="78" t="s">
        <v>364</v>
      </c>
      <c r="D6" s="321">
        <v>16144.41</v>
      </c>
    </row>
    <row r="7" spans="1:4" s="77" customFormat="1" ht="15" customHeight="1">
      <c r="A7" s="80" t="s">
        <v>393</v>
      </c>
      <c r="B7" s="79" t="s">
        <v>365</v>
      </c>
      <c r="C7" s="78" t="s">
        <v>364</v>
      </c>
      <c r="D7" s="322"/>
    </row>
    <row r="8" spans="1:4" s="77" customFormat="1" ht="15" customHeight="1">
      <c r="A8" s="80" t="s">
        <v>392</v>
      </c>
      <c r="B8" s="79" t="s">
        <v>365</v>
      </c>
      <c r="C8" s="78" t="s">
        <v>364</v>
      </c>
      <c r="D8" s="322"/>
    </row>
    <row r="9" spans="1:4" s="77" customFormat="1" ht="15" customHeight="1">
      <c r="A9" s="80" t="s">
        <v>391</v>
      </c>
      <c r="B9" s="79" t="s">
        <v>365</v>
      </c>
      <c r="C9" s="78" t="s">
        <v>364</v>
      </c>
      <c r="D9" s="322"/>
    </row>
    <row r="10" spans="1:4" s="77" customFormat="1" ht="15" customHeight="1">
      <c r="A10" s="80" t="s">
        <v>390</v>
      </c>
      <c r="B10" s="79" t="s">
        <v>365</v>
      </c>
      <c r="C10" s="78" t="s">
        <v>364</v>
      </c>
      <c r="D10" s="322"/>
    </row>
    <row r="11" spans="1:4" s="77" customFormat="1" ht="15" customHeight="1">
      <c r="A11" s="80" t="s">
        <v>389</v>
      </c>
      <c r="B11" s="79" t="s">
        <v>365</v>
      </c>
      <c r="C11" s="78" t="s">
        <v>364</v>
      </c>
      <c r="D11" s="322"/>
    </row>
    <row r="12" spans="1:4" s="77" customFormat="1" ht="15" customHeight="1">
      <c r="A12" s="80" t="s">
        <v>388</v>
      </c>
      <c r="B12" s="79" t="s">
        <v>365</v>
      </c>
      <c r="C12" s="78" t="s">
        <v>364</v>
      </c>
      <c r="D12" s="322"/>
    </row>
    <row r="13" spans="1:4" s="77" customFormat="1" ht="15" customHeight="1">
      <c r="A13" s="80" t="s">
        <v>387</v>
      </c>
      <c r="B13" s="79" t="s">
        <v>365</v>
      </c>
      <c r="C13" s="78" t="s">
        <v>364</v>
      </c>
      <c r="D13" s="322"/>
    </row>
    <row r="14" spans="1:4" s="77" customFormat="1" ht="15" customHeight="1">
      <c r="A14" s="80" t="s">
        <v>386</v>
      </c>
      <c r="B14" s="79" t="s">
        <v>365</v>
      </c>
      <c r="C14" s="78" t="s">
        <v>364</v>
      </c>
      <c r="D14" s="322"/>
    </row>
    <row r="15" spans="1:4" s="77" customFormat="1" ht="15" customHeight="1">
      <c r="A15" s="80" t="s">
        <v>385</v>
      </c>
      <c r="B15" s="79" t="s">
        <v>365</v>
      </c>
      <c r="C15" s="78" t="s">
        <v>364</v>
      </c>
      <c r="D15" s="322"/>
    </row>
    <row r="16" spans="1:4" s="77" customFormat="1" ht="15" customHeight="1">
      <c r="A16" s="80" t="s">
        <v>384</v>
      </c>
      <c r="B16" s="79" t="s">
        <v>365</v>
      </c>
      <c r="C16" s="78" t="s">
        <v>364</v>
      </c>
      <c r="D16" s="322"/>
    </row>
    <row r="17" spans="1:4" s="77" customFormat="1" ht="15" customHeight="1">
      <c r="A17" s="80" t="s">
        <v>383</v>
      </c>
      <c r="B17" s="79" t="s">
        <v>365</v>
      </c>
      <c r="C17" s="78" t="s">
        <v>364</v>
      </c>
      <c r="D17" s="322"/>
    </row>
    <row r="18" spans="1:4" s="77" customFormat="1" ht="15" customHeight="1">
      <c r="A18" s="80" t="s">
        <v>382</v>
      </c>
      <c r="B18" s="79" t="s">
        <v>365</v>
      </c>
      <c r="C18" s="78" t="s">
        <v>364</v>
      </c>
      <c r="D18" s="322"/>
    </row>
    <row r="19" spans="1:4" s="77" customFormat="1" ht="15" customHeight="1">
      <c r="A19" s="80" t="s">
        <v>381</v>
      </c>
      <c r="B19" s="79" t="s">
        <v>365</v>
      </c>
      <c r="C19" s="78" t="s">
        <v>364</v>
      </c>
      <c r="D19" s="322"/>
    </row>
    <row r="20" spans="1:4" s="77" customFormat="1" ht="15" customHeight="1">
      <c r="A20" s="80" t="s">
        <v>380</v>
      </c>
      <c r="B20" s="79" t="s">
        <v>365</v>
      </c>
      <c r="C20" s="78" t="s">
        <v>364</v>
      </c>
      <c r="D20" s="322"/>
    </row>
    <row r="21" spans="1:4" s="77" customFormat="1" ht="15" customHeight="1">
      <c r="A21" s="80" t="s">
        <v>379</v>
      </c>
      <c r="B21" s="79" t="s">
        <v>365</v>
      </c>
      <c r="C21" s="78" t="s">
        <v>364</v>
      </c>
      <c r="D21" s="322"/>
    </row>
    <row r="22" spans="1:4" s="77" customFormat="1" ht="15" customHeight="1">
      <c r="A22" s="80" t="s">
        <v>378</v>
      </c>
      <c r="B22" s="79" t="s">
        <v>365</v>
      </c>
      <c r="C22" s="78" t="s">
        <v>364</v>
      </c>
      <c r="D22" s="322"/>
    </row>
    <row r="23" spans="1:4" s="77" customFormat="1" ht="15" customHeight="1">
      <c r="A23" s="80" t="s">
        <v>377</v>
      </c>
      <c r="B23" s="79" t="s">
        <v>365</v>
      </c>
      <c r="C23" s="78" t="s">
        <v>364</v>
      </c>
      <c r="D23" s="322"/>
    </row>
    <row r="24" spans="1:4" s="77" customFormat="1" ht="15" customHeight="1">
      <c r="A24" s="80" t="s">
        <v>376</v>
      </c>
      <c r="B24" s="79" t="s">
        <v>365</v>
      </c>
      <c r="C24" s="78" t="s">
        <v>364</v>
      </c>
      <c r="D24" s="322"/>
    </row>
    <row r="25" spans="1:4" s="77" customFormat="1" ht="15" customHeight="1">
      <c r="A25" s="80" t="s">
        <v>375</v>
      </c>
      <c r="B25" s="79" t="s">
        <v>365</v>
      </c>
      <c r="C25" s="78" t="s">
        <v>364</v>
      </c>
      <c r="D25" s="322"/>
    </row>
    <row r="26" spans="1:4" s="77" customFormat="1" ht="15" customHeight="1">
      <c r="A26" s="80" t="s">
        <v>374</v>
      </c>
      <c r="B26" s="79" t="s">
        <v>365</v>
      </c>
      <c r="C26" s="78" t="s">
        <v>364</v>
      </c>
      <c r="D26" s="322"/>
    </row>
    <row r="27" spans="1:4" s="77" customFormat="1" ht="15" customHeight="1">
      <c r="A27" s="80" t="s">
        <v>373</v>
      </c>
      <c r="B27" s="79" t="s">
        <v>365</v>
      </c>
      <c r="C27" s="78" t="s">
        <v>364</v>
      </c>
      <c r="D27" s="322"/>
    </row>
    <row r="28" spans="1:4" s="77" customFormat="1" ht="15" customHeight="1">
      <c r="A28" s="80" t="s">
        <v>372</v>
      </c>
      <c r="B28" s="79" t="s">
        <v>365</v>
      </c>
      <c r="C28" s="78" t="s">
        <v>364</v>
      </c>
      <c r="D28" s="322"/>
    </row>
    <row r="29" spans="1:4" s="77" customFormat="1" ht="15" customHeight="1">
      <c r="A29" s="80" t="s">
        <v>371</v>
      </c>
      <c r="B29" s="79" t="s">
        <v>365</v>
      </c>
      <c r="C29" s="78" t="s">
        <v>364</v>
      </c>
      <c r="D29" s="322"/>
    </row>
    <row r="30" spans="1:4" s="77" customFormat="1" ht="15" customHeight="1">
      <c r="A30" s="80" t="s">
        <v>370</v>
      </c>
      <c r="B30" s="79" t="s">
        <v>365</v>
      </c>
      <c r="C30" s="78" t="s">
        <v>364</v>
      </c>
      <c r="D30" s="322"/>
    </row>
    <row r="31" spans="1:4" s="77" customFormat="1" ht="15" customHeight="1">
      <c r="A31" s="80" t="s">
        <v>369</v>
      </c>
      <c r="B31" s="79" t="s">
        <v>365</v>
      </c>
      <c r="C31" s="78" t="s">
        <v>364</v>
      </c>
      <c r="D31" s="322"/>
    </row>
    <row r="32" spans="1:4" s="77" customFormat="1" ht="15" customHeight="1">
      <c r="A32" s="80" t="s">
        <v>368</v>
      </c>
      <c r="B32" s="79" t="s">
        <v>365</v>
      </c>
      <c r="C32" s="78" t="s">
        <v>364</v>
      </c>
      <c r="D32" s="322"/>
    </row>
    <row r="33" spans="1:4" s="77" customFormat="1" ht="15" customHeight="1">
      <c r="A33" s="80" t="s">
        <v>367</v>
      </c>
      <c r="B33" s="79" t="s">
        <v>365</v>
      </c>
      <c r="C33" s="78" t="s">
        <v>364</v>
      </c>
      <c r="D33" s="322"/>
    </row>
    <row r="34" spans="1:4" s="77" customFormat="1" ht="15" customHeight="1">
      <c r="A34" s="80" t="s">
        <v>366</v>
      </c>
      <c r="B34" s="79" t="s">
        <v>365</v>
      </c>
      <c r="C34" s="78" t="s">
        <v>364</v>
      </c>
      <c r="D34" s="323"/>
    </row>
  </sheetData>
  <sheetProtection/>
  <mergeCells count="7">
    <mergeCell ref="D6:D34"/>
    <mergeCell ref="A1:D1"/>
    <mergeCell ref="A2:C2"/>
    <mergeCell ref="A3:A4"/>
    <mergeCell ref="B3:B4"/>
    <mergeCell ref="C3:C4"/>
    <mergeCell ref="D3:D4"/>
  </mergeCells>
  <printOptions horizontalCentered="1"/>
  <pageMargins left="0.551181102362205" right="0.590551181102362" top="0.669291338582677" bottom="0.708661417322835" header="0.511811023622047" footer="0.511811023622047"/>
  <pageSetup firstPageNumber="114" useFirstPageNumber="1" horizontalDpi="600" verticalDpi="600" orientation="landscape" paperSize="9" scale="90"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D23"/>
  <sheetViews>
    <sheetView zoomScalePageLayoutView="0" workbookViewId="0" topLeftCell="A1">
      <selection activeCell="P7" sqref="P7"/>
    </sheetView>
  </sheetViews>
  <sheetFormatPr defaultColWidth="9.140625" defaultRowHeight="15"/>
  <cols>
    <col min="1" max="1" width="83.8515625" style="71" customWidth="1"/>
    <col min="2" max="2" width="17.00390625" style="83" bestFit="1" customWidth="1"/>
    <col min="3" max="3" width="13.28125" style="71" customWidth="1"/>
    <col min="4" max="4" width="22.28125" style="71" customWidth="1"/>
    <col min="5" max="16384" width="9.140625" style="71" customWidth="1"/>
  </cols>
  <sheetData>
    <row r="1" spans="1:4" ht="21.75" customHeight="1">
      <c r="A1" s="327" t="s">
        <v>433</v>
      </c>
      <c r="B1" s="327"/>
      <c r="C1" s="327"/>
      <c r="D1" s="327"/>
    </row>
    <row r="2" spans="1:4" ht="17.25" customHeight="1">
      <c r="A2" s="328" t="s">
        <v>432</v>
      </c>
      <c r="B2" s="328"/>
      <c r="C2" s="328"/>
      <c r="D2" s="93"/>
    </row>
    <row r="3" spans="1:4" ht="49.5" customHeight="1">
      <c r="A3" s="329" t="s">
        <v>398</v>
      </c>
      <c r="B3" s="329" t="s">
        <v>397</v>
      </c>
      <c r="C3" s="329" t="s">
        <v>396</v>
      </c>
      <c r="D3" s="329" t="s">
        <v>431</v>
      </c>
    </row>
    <row r="4" spans="1:4" ht="12.75" customHeight="1">
      <c r="A4" s="330"/>
      <c r="B4" s="330"/>
      <c r="C4" s="330"/>
      <c r="D4" s="330"/>
    </row>
    <row r="5" spans="1:4" ht="15.75" customHeight="1">
      <c r="A5" s="92">
        <v>1</v>
      </c>
      <c r="B5" s="92">
        <v>2</v>
      </c>
      <c r="C5" s="92">
        <v>3</v>
      </c>
      <c r="D5" s="92">
        <v>4</v>
      </c>
    </row>
    <row r="6" spans="1:4" s="84" customFormat="1" ht="15" customHeight="1">
      <c r="A6" s="88" t="s">
        <v>430</v>
      </c>
      <c r="B6" s="87" t="s">
        <v>411</v>
      </c>
      <c r="C6" s="85" t="s">
        <v>410</v>
      </c>
      <c r="D6" s="85"/>
    </row>
    <row r="7" spans="1:4" s="84" customFormat="1" ht="15" customHeight="1">
      <c r="A7" s="88" t="s">
        <v>429</v>
      </c>
      <c r="B7" s="87" t="s">
        <v>403</v>
      </c>
      <c r="C7" s="85" t="s">
        <v>408</v>
      </c>
      <c r="D7" s="89" t="s">
        <v>428</v>
      </c>
    </row>
    <row r="8" spans="1:4" s="84" customFormat="1" ht="15" customHeight="1">
      <c r="A8" s="88" t="s">
        <v>427</v>
      </c>
      <c r="B8" s="87" t="s">
        <v>411</v>
      </c>
      <c r="C8" s="90" t="s">
        <v>410</v>
      </c>
      <c r="D8" s="85"/>
    </row>
    <row r="9" spans="1:4" s="84" customFormat="1" ht="15" customHeight="1">
      <c r="A9" s="88" t="s">
        <v>426</v>
      </c>
      <c r="B9" s="87" t="s">
        <v>410</v>
      </c>
      <c r="C9" s="90" t="s">
        <v>410</v>
      </c>
      <c r="D9" s="85"/>
    </row>
    <row r="10" spans="1:4" s="84" customFormat="1" ht="15" customHeight="1">
      <c r="A10" s="88" t="s">
        <v>425</v>
      </c>
      <c r="B10" s="87" t="s">
        <v>410</v>
      </c>
      <c r="C10" s="90" t="s">
        <v>410</v>
      </c>
      <c r="D10" s="85"/>
    </row>
    <row r="11" spans="1:4" s="84" customFormat="1" ht="54" customHeight="1">
      <c r="A11" s="88" t="s">
        <v>424</v>
      </c>
      <c r="B11" s="87" t="s">
        <v>365</v>
      </c>
      <c r="C11" s="86" t="s">
        <v>406</v>
      </c>
      <c r="D11" s="91" t="s">
        <v>423</v>
      </c>
    </row>
    <row r="12" spans="1:4" s="84" customFormat="1" ht="15" customHeight="1">
      <c r="A12" s="88" t="s">
        <v>422</v>
      </c>
      <c r="B12" s="87" t="s">
        <v>411</v>
      </c>
      <c r="C12" s="90" t="s">
        <v>410</v>
      </c>
      <c r="D12" s="85"/>
    </row>
    <row r="13" spans="1:4" s="84" customFormat="1" ht="15" customHeight="1">
      <c r="A13" s="88" t="s">
        <v>421</v>
      </c>
      <c r="B13" s="87" t="s">
        <v>411</v>
      </c>
      <c r="C13" s="90" t="s">
        <v>410</v>
      </c>
      <c r="D13" s="85"/>
    </row>
    <row r="14" spans="1:4" s="84" customFormat="1" ht="30" customHeight="1">
      <c r="A14" s="88" t="s">
        <v>420</v>
      </c>
      <c r="B14" s="87" t="s">
        <v>411</v>
      </c>
      <c r="C14" s="90" t="s">
        <v>410</v>
      </c>
      <c r="D14" s="85"/>
    </row>
    <row r="15" spans="1:4" s="84" customFormat="1" ht="15" customHeight="1">
      <c r="A15" s="88" t="s">
        <v>419</v>
      </c>
      <c r="B15" s="87" t="s">
        <v>411</v>
      </c>
      <c r="C15" s="90" t="s">
        <v>410</v>
      </c>
      <c r="D15" s="85"/>
    </row>
    <row r="16" spans="1:4" s="84" customFormat="1" ht="56.25" customHeight="1">
      <c r="A16" s="88" t="s">
        <v>418</v>
      </c>
      <c r="B16" s="87" t="s">
        <v>403</v>
      </c>
      <c r="C16" s="86" t="s">
        <v>406</v>
      </c>
      <c r="D16" s="85"/>
    </row>
    <row r="17" spans="1:4" s="84" customFormat="1" ht="33.75" customHeight="1">
      <c r="A17" s="88" t="s">
        <v>417</v>
      </c>
      <c r="B17" s="87" t="s">
        <v>411</v>
      </c>
      <c r="C17" s="86" t="s">
        <v>416</v>
      </c>
      <c r="D17" s="85" t="s">
        <v>415</v>
      </c>
    </row>
    <row r="18" spans="1:4" s="84" customFormat="1" ht="15" customHeight="1">
      <c r="A18" s="88" t="s">
        <v>414</v>
      </c>
      <c r="B18" s="87" t="s">
        <v>411</v>
      </c>
      <c r="C18" s="90" t="s">
        <v>410</v>
      </c>
      <c r="D18" s="85"/>
    </row>
    <row r="19" spans="1:4" s="84" customFormat="1" ht="28.5">
      <c r="A19" s="88" t="s">
        <v>413</v>
      </c>
      <c r="B19" s="87" t="s">
        <v>411</v>
      </c>
      <c r="C19" s="90" t="s">
        <v>410</v>
      </c>
      <c r="D19" s="85"/>
    </row>
    <row r="20" spans="1:4" s="84" customFormat="1" ht="15" customHeight="1">
      <c r="A20" s="88" t="s">
        <v>412</v>
      </c>
      <c r="B20" s="87" t="s">
        <v>411</v>
      </c>
      <c r="C20" s="90" t="s">
        <v>410</v>
      </c>
      <c r="D20" s="85"/>
    </row>
    <row r="21" spans="1:4" s="84" customFormat="1" ht="15" customHeight="1">
      <c r="A21" s="88" t="s">
        <v>409</v>
      </c>
      <c r="B21" s="87" t="s">
        <v>403</v>
      </c>
      <c r="C21" s="85" t="s">
        <v>408</v>
      </c>
      <c r="D21" s="85"/>
    </row>
    <row r="22" spans="1:4" s="84" customFormat="1" ht="28.5">
      <c r="A22" s="88" t="s">
        <v>407</v>
      </c>
      <c r="B22" s="87" t="s">
        <v>403</v>
      </c>
      <c r="C22" s="86" t="s">
        <v>406</v>
      </c>
      <c r="D22" s="89" t="s">
        <v>405</v>
      </c>
    </row>
    <row r="23" spans="1:4" s="84" customFormat="1" ht="31.5" customHeight="1">
      <c r="A23" s="88" t="s">
        <v>404</v>
      </c>
      <c r="B23" s="87" t="s">
        <v>403</v>
      </c>
      <c r="C23" s="86" t="s">
        <v>402</v>
      </c>
      <c r="D23" s="85" t="s">
        <v>401</v>
      </c>
    </row>
  </sheetData>
  <sheetProtection/>
  <mergeCells count="6">
    <mergeCell ref="A1:D1"/>
    <mergeCell ref="A2:C2"/>
    <mergeCell ref="A3:A4"/>
    <mergeCell ref="C3:C4"/>
    <mergeCell ref="D3:D4"/>
    <mergeCell ref="B3:B4"/>
  </mergeCells>
  <printOptions horizontalCentered="1"/>
  <pageMargins left="0.551181102362205" right="0.590551181102362" top="0.669291338582677" bottom="0.708661417322835" header="0.511811023622047" footer="0.511811023622047"/>
  <pageSetup firstPageNumber="115" useFirstPageNumber="1" horizontalDpi="600" verticalDpi="600" orientation="landscape" paperSize="9" scale="9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T55"/>
  <sheetViews>
    <sheetView zoomScalePageLayoutView="0" workbookViewId="0" topLeftCell="A13">
      <selection activeCell="E40" sqref="E40"/>
    </sheetView>
  </sheetViews>
  <sheetFormatPr defaultColWidth="9.140625" defaultRowHeight="15"/>
  <cols>
    <col min="1" max="1" width="12.7109375" style="1" customWidth="1"/>
    <col min="2" max="4" width="12.28125" style="1" customWidth="1"/>
    <col min="5" max="5" width="15.57421875" style="1" customWidth="1"/>
    <col min="6" max="6" width="10.140625" style="1" customWidth="1"/>
    <col min="7" max="7" width="14.00390625" style="1" customWidth="1"/>
    <col min="8" max="8" width="16.7109375" style="1" customWidth="1"/>
    <col min="9" max="9" width="14.140625" style="1" customWidth="1"/>
    <col min="10" max="10" width="13.28125" style="1" customWidth="1"/>
    <col min="11" max="11" width="13.57421875" style="1" customWidth="1"/>
    <col min="12" max="12" width="10.00390625" style="1" customWidth="1"/>
    <col min="13" max="13" width="12.7109375" style="1" customWidth="1"/>
    <col min="14" max="14" width="14.421875" style="1" customWidth="1"/>
    <col min="15" max="16384" width="9.140625" style="1" customWidth="1"/>
  </cols>
  <sheetData>
    <row r="1" spans="1:14" ht="15.75">
      <c r="A1" s="299" t="s">
        <v>456</v>
      </c>
      <c r="B1" s="299"/>
      <c r="C1" s="299"/>
      <c r="D1" s="299"/>
      <c r="E1" s="299"/>
      <c r="F1" s="299"/>
      <c r="G1" s="299"/>
      <c r="H1" s="299"/>
      <c r="I1" s="299"/>
      <c r="J1" s="299"/>
      <c r="K1" s="299"/>
      <c r="L1" s="299"/>
      <c r="M1" s="299"/>
      <c r="N1" s="299"/>
    </row>
    <row r="2" spans="1:14" ht="15.75">
      <c r="A2" s="348" t="s">
        <v>455</v>
      </c>
      <c r="B2" s="348"/>
      <c r="C2" s="348"/>
      <c r="D2" s="348"/>
      <c r="E2" s="348"/>
      <c r="F2" s="348"/>
      <c r="G2" s="348"/>
      <c r="H2" s="348"/>
      <c r="I2" s="348"/>
      <c r="J2" s="348"/>
      <c r="K2" s="348"/>
      <c r="L2" s="348"/>
      <c r="M2" s="313" t="s">
        <v>454</v>
      </c>
      <c r="N2" s="313"/>
    </row>
    <row r="3" spans="1:14" ht="15">
      <c r="A3" s="349" t="s">
        <v>453</v>
      </c>
      <c r="B3" s="349"/>
      <c r="C3" s="349"/>
      <c r="D3" s="349"/>
      <c r="E3" s="349"/>
      <c r="F3" s="349"/>
      <c r="G3" s="349"/>
      <c r="H3" s="349"/>
      <c r="I3" s="349"/>
      <c r="J3" s="349"/>
      <c r="K3" s="349"/>
      <c r="L3" s="349"/>
      <c r="M3" s="349"/>
      <c r="N3" s="349"/>
    </row>
    <row r="4" spans="1:14" s="100" customFormat="1" ht="18.75" customHeight="1">
      <c r="A4" s="338" t="s">
        <v>345</v>
      </c>
      <c r="B4" s="338" t="s">
        <v>9</v>
      </c>
      <c r="C4" s="338"/>
      <c r="D4" s="338"/>
      <c r="E4" s="338"/>
      <c r="F4" s="338"/>
      <c r="G4" s="338"/>
      <c r="H4" s="338"/>
      <c r="I4" s="338"/>
      <c r="J4" s="338"/>
      <c r="K4" s="338"/>
      <c r="L4" s="338"/>
      <c r="M4" s="338"/>
      <c r="N4" s="338"/>
    </row>
    <row r="5" spans="1:14" s="100" customFormat="1" ht="28.5" customHeight="1">
      <c r="A5" s="338"/>
      <c r="B5" s="338" t="s">
        <v>451</v>
      </c>
      <c r="C5" s="338"/>
      <c r="D5" s="338"/>
      <c r="E5" s="338" t="s">
        <v>450</v>
      </c>
      <c r="F5" s="338"/>
      <c r="G5" s="338"/>
      <c r="H5" s="338"/>
      <c r="I5" s="338"/>
      <c r="J5" s="338"/>
      <c r="K5" s="338"/>
      <c r="L5" s="338"/>
      <c r="M5" s="338" t="s">
        <v>449</v>
      </c>
      <c r="N5" s="338"/>
    </row>
    <row r="6" spans="1:14" s="100" customFormat="1" ht="20.25" customHeight="1">
      <c r="A6" s="338"/>
      <c r="B6" s="338" t="s">
        <v>448</v>
      </c>
      <c r="C6" s="338" t="s">
        <v>447</v>
      </c>
      <c r="D6" s="338" t="s">
        <v>2</v>
      </c>
      <c r="E6" s="338" t="s">
        <v>446</v>
      </c>
      <c r="F6" s="338"/>
      <c r="G6" s="338"/>
      <c r="H6" s="338" t="s">
        <v>445</v>
      </c>
      <c r="I6" s="338" t="s">
        <v>444</v>
      </c>
      <c r="J6" s="338" t="s">
        <v>443</v>
      </c>
      <c r="K6" s="338" t="s">
        <v>442</v>
      </c>
      <c r="L6" s="338" t="s">
        <v>452</v>
      </c>
      <c r="M6" s="338" t="s">
        <v>440</v>
      </c>
      <c r="N6" s="338" t="s">
        <v>439</v>
      </c>
    </row>
    <row r="7" spans="1:14" s="100" customFormat="1" ht="20.25" customHeight="1">
      <c r="A7" s="338"/>
      <c r="B7" s="338"/>
      <c r="C7" s="338"/>
      <c r="D7" s="338"/>
      <c r="E7" s="338" t="s">
        <v>438</v>
      </c>
      <c r="F7" s="338"/>
      <c r="G7" s="338" t="s">
        <v>437</v>
      </c>
      <c r="H7" s="338"/>
      <c r="I7" s="338"/>
      <c r="J7" s="338"/>
      <c r="K7" s="338"/>
      <c r="L7" s="338"/>
      <c r="M7" s="338"/>
      <c r="N7" s="338"/>
    </row>
    <row r="8" spans="1:14" s="100" customFormat="1" ht="24">
      <c r="A8" s="338"/>
      <c r="B8" s="338"/>
      <c r="C8" s="338"/>
      <c r="D8" s="338"/>
      <c r="E8" s="258" t="s">
        <v>436</v>
      </c>
      <c r="F8" s="258" t="s">
        <v>435</v>
      </c>
      <c r="G8" s="338"/>
      <c r="H8" s="338"/>
      <c r="I8" s="338"/>
      <c r="J8" s="338"/>
      <c r="K8" s="338"/>
      <c r="L8" s="338"/>
      <c r="M8" s="338"/>
      <c r="N8" s="338"/>
    </row>
    <row r="9" spans="1:14" ht="15">
      <c r="A9" s="64" t="s">
        <v>77</v>
      </c>
      <c r="B9" s="113">
        <v>1275</v>
      </c>
      <c r="C9" s="113">
        <v>654</v>
      </c>
      <c r="D9" s="97">
        <f aca="true" t="shared" si="0" ref="D9:D16">B9+C9</f>
        <v>1929</v>
      </c>
      <c r="E9" s="97"/>
      <c r="F9" s="97"/>
      <c r="G9" s="113">
        <v>0.7</v>
      </c>
      <c r="H9" s="97"/>
      <c r="I9" s="113">
        <v>183</v>
      </c>
      <c r="J9" s="113">
        <v>78</v>
      </c>
      <c r="K9" s="113">
        <v>470</v>
      </c>
      <c r="L9" s="113">
        <v>1197</v>
      </c>
      <c r="M9" s="113">
        <v>785</v>
      </c>
      <c r="N9" s="97"/>
    </row>
    <row r="10" spans="1:14" ht="15">
      <c r="A10" s="64" t="s">
        <v>76</v>
      </c>
      <c r="B10" s="113">
        <v>2206</v>
      </c>
      <c r="C10" s="113">
        <v>741</v>
      </c>
      <c r="D10" s="97">
        <f t="shared" si="0"/>
        <v>2947</v>
      </c>
      <c r="E10" s="97"/>
      <c r="F10" s="97"/>
      <c r="G10" s="113">
        <v>1.2</v>
      </c>
      <c r="H10" s="97"/>
      <c r="I10" s="113">
        <v>1824</v>
      </c>
      <c r="J10" s="113">
        <v>69</v>
      </c>
      <c r="K10" s="113">
        <v>551</v>
      </c>
      <c r="L10" s="113">
        <v>502</v>
      </c>
      <c r="M10" s="113">
        <v>741</v>
      </c>
      <c r="N10" s="97"/>
    </row>
    <row r="11" spans="1:20" ht="15.75">
      <c r="A11" s="64" t="s">
        <v>36</v>
      </c>
      <c r="B11" s="97">
        <v>943</v>
      </c>
      <c r="C11" s="97">
        <v>0</v>
      </c>
      <c r="D11" s="97">
        <f t="shared" si="0"/>
        <v>943</v>
      </c>
      <c r="E11" s="97"/>
      <c r="F11" s="97"/>
      <c r="G11" s="65"/>
      <c r="H11" s="9"/>
      <c r="I11" s="97">
        <v>484</v>
      </c>
      <c r="J11" s="65">
        <v>119</v>
      </c>
      <c r="K11" s="97">
        <v>340</v>
      </c>
      <c r="L11" s="97"/>
      <c r="M11" s="97">
        <v>484</v>
      </c>
      <c r="N11" s="9"/>
      <c r="P11" s="112"/>
      <c r="Q11" s="112"/>
      <c r="R11" s="112"/>
      <c r="S11" s="112"/>
      <c r="T11" s="112"/>
    </row>
    <row r="12" spans="1:20" ht="15.75">
      <c r="A12" s="64" t="s">
        <v>35</v>
      </c>
      <c r="B12" s="97">
        <v>441</v>
      </c>
      <c r="C12" s="97">
        <v>829</v>
      </c>
      <c r="D12" s="97">
        <f t="shared" si="0"/>
        <v>1270</v>
      </c>
      <c r="E12" s="97"/>
      <c r="F12" s="97"/>
      <c r="G12" s="65"/>
      <c r="H12" s="9"/>
      <c r="I12" s="97">
        <v>829</v>
      </c>
      <c r="J12" s="65">
        <v>142</v>
      </c>
      <c r="K12" s="97">
        <v>299</v>
      </c>
      <c r="L12" s="97"/>
      <c r="M12" s="97">
        <v>829</v>
      </c>
      <c r="N12" s="9"/>
      <c r="P12" s="112"/>
      <c r="Q12" s="112"/>
      <c r="R12" s="112"/>
      <c r="S12" s="112"/>
      <c r="T12" s="112"/>
    </row>
    <row r="13" spans="1:20" ht="15.75">
      <c r="A13" s="64" t="s">
        <v>34</v>
      </c>
      <c r="B13" s="97">
        <v>569</v>
      </c>
      <c r="C13" s="97">
        <v>105</v>
      </c>
      <c r="D13" s="97">
        <f t="shared" si="0"/>
        <v>674</v>
      </c>
      <c r="E13" s="97"/>
      <c r="F13" s="97"/>
      <c r="G13" s="65"/>
      <c r="H13" s="9"/>
      <c r="I13" s="97">
        <v>105</v>
      </c>
      <c r="J13" s="65">
        <v>159</v>
      </c>
      <c r="K13" s="97">
        <v>410</v>
      </c>
      <c r="L13" s="97"/>
      <c r="M13" s="97">
        <v>105</v>
      </c>
      <c r="N13" s="9"/>
      <c r="P13" s="112"/>
      <c r="Q13" s="112"/>
      <c r="R13" s="112"/>
      <c r="S13" s="112"/>
      <c r="T13" s="112"/>
    </row>
    <row r="14" spans="1:20" ht="15.75">
      <c r="A14" s="64" t="s">
        <v>33</v>
      </c>
      <c r="B14" s="97">
        <v>1180</v>
      </c>
      <c r="C14" s="97">
        <v>202</v>
      </c>
      <c r="D14" s="97">
        <f t="shared" si="0"/>
        <v>1382</v>
      </c>
      <c r="E14" s="97"/>
      <c r="F14" s="97"/>
      <c r="G14" s="65"/>
      <c r="H14" s="9"/>
      <c r="I14" s="97">
        <v>202</v>
      </c>
      <c r="J14" s="65">
        <v>268</v>
      </c>
      <c r="K14" s="97">
        <v>912</v>
      </c>
      <c r="L14" s="97"/>
      <c r="M14" s="97">
        <v>202</v>
      </c>
      <c r="N14" s="9"/>
      <c r="P14" s="112"/>
      <c r="Q14" s="112"/>
      <c r="R14" s="112"/>
      <c r="S14" s="112"/>
      <c r="T14" s="112"/>
    </row>
    <row r="15" spans="1:14" ht="15.75">
      <c r="A15" s="64" t="s">
        <v>32</v>
      </c>
      <c r="B15" s="97">
        <v>1293</v>
      </c>
      <c r="C15" s="97">
        <v>0</v>
      </c>
      <c r="D15" s="97">
        <f t="shared" si="0"/>
        <v>1293</v>
      </c>
      <c r="E15" s="97"/>
      <c r="F15" s="97"/>
      <c r="G15" s="65"/>
      <c r="H15" s="9"/>
      <c r="I15" s="97">
        <v>0</v>
      </c>
      <c r="J15" s="65">
        <v>633</v>
      </c>
      <c r="K15" s="97">
        <v>660</v>
      </c>
      <c r="L15" s="97"/>
      <c r="M15" s="97">
        <v>0</v>
      </c>
      <c r="N15" s="97"/>
    </row>
    <row r="16" spans="1:20" ht="15.75">
      <c r="A16" s="64" t="s">
        <v>31</v>
      </c>
      <c r="B16" s="97">
        <v>1338</v>
      </c>
      <c r="C16" s="97">
        <v>0</v>
      </c>
      <c r="D16" s="97">
        <f t="shared" si="0"/>
        <v>1338</v>
      </c>
      <c r="E16" s="97"/>
      <c r="F16" s="97"/>
      <c r="G16" s="65"/>
      <c r="H16" s="9"/>
      <c r="I16" s="97">
        <v>0</v>
      </c>
      <c r="J16" s="65">
        <v>690</v>
      </c>
      <c r="K16" s="97">
        <v>668</v>
      </c>
      <c r="L16" s="97"/>
      <c r="M16" s="97">
        <v>0</v>
      </c>
      <c r="N16" s="97"/>
      <c r="P16" s="112"/>
      <c r="Q16" s="112"/>
      <c r="R16" s="112"/>
      <c r="S16" s="112"/>
      <c r="T16" s="112"/>
    </row>
    <row r="17" spans="16:20" ht="12.75">
      <c r="P17" s="112"/>
      <c r="Q17" s="112"/>
      <c r="R17" s="112"/>
      <c r="S17" s="112"/>
      <c r="T17" s="112"/>
    </row>
    <row r="18" spans="1:14" s="100" customFormat="1" ht="18.75" customHeight="1" hidden="1" thickBot="1">
      <c r="A18" s="335" t="s">
        <v>345</v>
      </c>
      <c r="B18" s="339" t="s">
        <v>7</v>
      </c>
      <c r="C18" s="340"/>
      <c r="D18" s="340"/>
      <c r="E18" s="340"/>
      <c r="F18" s="340"/>
      <c r="G18" s="340"/>
      <c r="H18" s="340"/>
      <c r="I18" s="340"/>
      <c r="J18" s="340"/>
      <c r="K18" s="340"/>
      <c r="L18" s="340"/>
      <c r="M18" s="340"/>
      <c r="N18" s="341"/>
    </row>
    <row r="19" spans="1:14" s="100" customFormat="1" ht="28.5" customHeight="1" hidden="1" thickBot="1">
      <c r="A19" s="336"/>
      <c r="B19" s="339" t="s">
        <v>451</v>
      </c>
      <c r="C19" s="340"/>
      <c r="D19" s="341"/>
      <c r="E19" s="339" t="s">
        <v>450</v>
      </c>
      <c r="F19" s="340"/>
      <c r="G19" s="340"/>
      <c r="H19" s="340"/>
      <c r="I19" s="340"/>
      <c r="J19" s="340"/>
      <c r="K19" s="340"/>
      <c r="L19" s="341"/>
      <c r="M19" s="339" t="s">
        <v>449</v>
      </c>
      <c r="N19" s="341"/>
    </row>
    <row r="20" spans="1:14" s="100" customFormat="1" ht="20.25" customHeight="1" hidden="1">
      <c r="A20" s="336"/>
      <c r="B20" s="335" t="s">
        <v>448</v>
      </c>
      <c r="C20" s="335" t="s">
        <v>447</v>
      </c>
      <c r="D20" s="335" t="s">
        <v>447</v>
      </c>
      <c r="E20" s="343" t="s">
        <v>446</v>
      </c>
      <c r="F20" s="344"/>
      <c r="G20" s="345"/>
      <c r="H20" s="335" t="s">
        <v>445</v>
      </c>
      <c r="I20" s="335" t="s">
        <v>444</v>
      </c>
      <c r="J20" s="335" t="s">
        <v>443</v>
      </c>
      <c r="K20" s="335" t="s">
        <v>442</v>
      </c>
      <c r="L20" s="335" t="s">
        <v>441</v>
      </c>
      <c r="M20" s="335" t="s">
        <v>440</v>
      </c>
      <c r="N20" s="335" t="s">
        <v>439</v>
      </c>
    </row>
    <row r="21" spans="1:14" s="100" customFormat="1" ht="20.25" customHeight="1" hidden="1">
      <c r="A21" s="336"/>
      <c r="B21" s="336"/>
      <c r="C21" s="342"/>
      <c r="D21" s="342"/>
      <c r="E21" s="331" t="s">
        <v>438</v>
      </c>
      <c r="F21" s="332"/>
      <c r="G21" s="333" t="s">
        <v>437</v>
      </c>
      <c r="H21" s="346"/>
      <c r="I21" s="336"/>
      <c r="J21" s="336"/>
      <c r="K21" s="336"/>
      <c r="L21" s="336"/>
      <c r="M21" s="336"/>
      <c r="N21" s="336"/>
    </row>
    <row r="22" spans="1:14" s="100" customFormat="1" ht="24.75" hidden="1" thickBot="1">
      <c r="A22" s="337"/>
      <c r="B22" s="337"/>
      <c r="C22" s="337"/>
      <c r="D22" s="337"/>
      <c r="E22" s="101" t="s">
        <v>436</v>
      </c>
      <c r="F22" s="102" t="s">
        <v>435</v>
      </c>
      <c r="G22" s="334"/>
      <c r="H22" s="347"/>
      <c r="I22" s="337"/>
      <c r="J22" s="337"/>
      <c r="K22" s="337"/>
      <c r="L22" s="337"/>
      <c r="M22" s="337"/>
      <c r="N22" s="337"/>
    </row>
    <row r="23" spans="1:14" ht="15.75" hidden="1" thickBot="1">
      <c r="A23" s="99" t="s">
        <v>77</v>
      </c>
      <c r="B23" s="111"/>
      <c r="C23" s="111"/>
      <c r="D23" s="111"/>
      <c r="E23" s="111"/>
      <c r="F23" s="111"/>
      <c r="G23" s="109"/>
      <c r="H23" s="111"/>
      <c r="I23" s="111"/>
      <c r="J23" s="111"/>
      <c r="K23" s="111"/>
      <c r="L23" s="111"/>
      <c r="M23" s="111"/>
      <c r="N23" s="110"/>
    </row>
    <row r="24" spans="1:14" ht="15.75" hidden="1" thickBot="1">
      <c r="A24" s="99" t="s">
        <v>76</v>
      </c>
      <c r="B24" s="109"/>
      <c r="C24" s="109"/>
      <c r="D24" s="109"/>
      <c r="E24" s="109"/>
      <c r="F24" s="109"/>
      <c r="G24" s="109"/>
      <c r="H24" s="109"/>
      <c r="I24" s="109"/>
      <c r="J24" s="109"/>
      <c r="K24" s="109"/>
      <c r="L24" s="109"/>
      <c r="M24" s="109"/>
      <c r="N24" s="108"/>
    </row>
    <row r="25" spans="1:14" ht="15.75" hidden="1" thickBot="1">
      <c r="A25" s="99" t="s">
        <v>36</v>
      </c>
      <c r="B25" s="109"/>
      <c r="C25" s="109"/>
      <c r="D25" s="109"/>
      <c r="E25" s="109"/>
      <c r="F25" s="109"/>
      <c r="G25" s="109"/>
      <c r="H25" s="109"/>
      <c r="I25" s="109"/>
      <c r="J25" s="109"/>
      <c r="K25" s="109"/>
      <c r="L25" s="109"/>
      <c r="M25" s="109"/>
      <c r="N25" s="108"/>
    </row>
    <row r="26" spans="1:14" ht="15.75" hidden="1" thickBot="1">
      <c r="A26" s="98" t="s">
        <v>35</v>
      </c>
      <c r="B26" s="107"/>
      <c r="C26" s="107"/>
      <c r="D26" s="107"/>
      <c r="E26" s="107"/>
      <c r="F26" s="107"/>
      <c r="G26" s="107"/>
      <c r="H26" s="107"/>
      <c r="I26" s="107"/>
      <c r="J26" s="107"/>
      <c r="K26" s="107"/>
      <c r="L26" s="107"/>
      <c r="M26" s="107"/>
      <c r="N26" s="106"/>
    </row>
    <row r="27" spans="1:14" ht="15.75" hidden="1" thickBot="1">
      <c r="A27" s="98" t="s">
        <v>34</v>
      </c>
      <c r="B27" s="107"/>
      <c r="C27" s="107"/>
      <c r="D27" s="107"/>
      <c r="E27" s="107"/>
      <c r="F27" s="107"/>
      <c r="G27" s="107"/>
      <c r="H27" s="107"/>
      <c r="I27" s="107"/>
      <c r="J27" s="107"/>
      <c r="K27" s="107"/>
      <c r="L27" s="107"/>
      <c r="M27" s="107"/>
      <c r="N27" s="106"/>
    </row>
    <row r="28" spans="1:14" ht="15.75" hidden="1" thickBot="1">
      <c r="A28" s="98" t="s">
        <v>33</v>
      </c>
      <c r="B28" s="107"/>
      <c r="C28" s="107"/>
      <c r="D28" s="107"/>
      <c r="E28" s="107"/>
      <c r="F28" s="107"/>
      <c r="G28" s="107"/>
      <c r="H28" s="107"/>
      <c r="I28" s="107"/>
      <c r="J28" s="107"/>
      <c r="K28" s="107"/>
      <c r="L28" s="107"/>
      <c r="M28" s="107"/>
      <c r="N28" s="106"/>
    </row>
    <row r="29" spans="1:14" ht="15.75" hidden="1" thickBot="1">
      <c r="A29" s="98" t="s">
        <v>32</v>
      </c>
      <c r="B29" s="107"/>
      <c r="C29" s="107"/>
      <c r="D29" s="107"/>
      <c r="E29" s="107"/>
      <c r="F29" s="107"/>
      <c r="G29" s="107"/>
      <c r="H29" s="107"/>
      <c r="I29" s="107"/>
      <c r="J29" s="107"/>
      <c r="K29" s="107"/>
      <c r="L29" s="107"/>
      <c r="M29" s="107"/>
      <c r="N29" s="106"/>
    </row>
    <row r="30" spans="1:14" ht="15.75" hidden="1" thickBot="1">
      <c r="A30" s="96" t="s">
        <v>31</v>
      </c>
      <c r="B30" s="105"/>
      <c r="C30" s="105"/>
      <c r="D30" s="105"/>
      <c r="E30" s="105"/>
      <c r="F30" s="105"/>
      <c r="G30" s="105"/>
      <c r="H30" s="105"/>
      <c r="I30" s="105"/>
      <c r="J30" s="105"/>
      <c r="K30" s="105"/>
      <c r="L30" s="105"/>
      <c r="M30" s="105"/>
      <c r="N30" s="104"/>
    </row>
    <row r="31" ht="13.5" hidden="1" thickBot="1"/>
    <row r="32" spans="1:20" s="100" customFormat="1" ht="18.75" customHeight="1">
      <c r="A32" s="338" t="s">
        <v>345</v>
      </c>
      <c r="B32" s="338" t="s">
        <v>5</v>
      </c>
      <c r="C32" s="338"/>
      <c r="D32" s="338"/>
      <c r="E32" s="338"/>
      <c r="F32" s="338"/>
      <c r="G32" s="338"/>
      <c r="H32" s="338"/>
      <c r="I32" s="338"/>
      <c r="J32" s="338"/>
      <c r="K32" s="338"/>
      <c r="L32" s="338"/>
      <c r="M32" s="338"/>
      <c r="N32" s="338"/>
      <c r="P32" s="103"/>
      <c r="Q32" s="103"/>
      <c r="R32" s="103"/>
      <c r="S32" s="103"/>
      <c r="T32" s="103"/>
    </row>
    <row r="33" spans="1:14" s="100" customFormat="1" ht="28.5" customHeight="1">
      <c r="A33" s="338"/>
      <c r="B33" s="338" t="s">
        <v>451</v>
      </c>
      <c r="C33" s="338"/>
      <c r="D33" s="338"/>
      <c r="E33" s="338" t="s">
        <v>450</v>
      </c>
      <c r="F33" s="338"/>
      <c r="G33" s="338"/>
      <c r="H33" s="338"/>
      <c r="I33" s="338"/>
      <c r="J33" s="338"/>
      <c r="K33" s="338"/>
      <c r="L33" s="338"/>
      <c r="M33" s="338" t="s">
        <v>449</v>
      </c>
      <c r="N33" s="338"/>
    </row>
    <row r="34" spans="1:14" s="100" customFormat="1" ht="20.25" customHeight="1">
      <c r="A34" s="338"/>
      <c r="B34" s="338" t="s">
        <v>448</v>
      </c>
      <c r="C34" s="338" t="s">
        <v>447</v>
      </c>
      <c r="D34" s="338" t="s">
        <v>2</v>
      </c>
      <c r="E34" s="338" t="s">
        <v>446</v>
      </c>
      <c r="F34" s="338"/>
      <c r="G34" s="338"/>
      <c r="H34" s="338" t="s">
        <v>445</v>
      </c>
      <c r="I34" s="338" t="s">
        <v>444</v>
      </c>
      <c r="J34" s="338" t="s">
        <v>443</v>
      </c>
      <c r="K34" s="338" t="s">
        <v>442</v>
      </c>
      <c r="L34" s="338" t="s">
        <v>441</v>
      </c>
      <c r="M34" s="338" t="s">
        <v>440</v>
      </c>
      <c r="N34" s="338" t="s">
        <v>439</v>
      </c>
    </row>
    <row r="35" spans="1:14" s="100" customFormat="1" ht="20.25" customHeight="1">
      <c r="A35" s="338"/>
      <c r="B35" s="338"/>
      <c r="C35" s="338"/>
      <c r="D35" s="338"/>
      <c r="E35" s="338" t="s">
        <v>438</v>
      </c>
      <c r="F35" s="338"/>
      <c r="G35" s="338" t="s">
        <v>437</v>
      </c>
      <c r="H35" s="338"/>
      <c r="I35" s="338"/>
      <c r="J35" s="338"/>
      <c r="K35" s="338"/>
      <c r="L35" s="338"/>
      <c r="M35" s="338"/>
      <c r="N35" s="338"/>
    </row>
    <row r="36" spans="1:14" s="100" customFormat="1" ht="24">
      <c r="A36" s="338"/>
      <c r="B36" s="338"/>
      <c r="C36" s="338"/>
      <c r="D36" s="338"/>
      <c r="E36" s="258" t="s">
        <v>436</v>
      </c>
      <c r="F36" s="258" t="s">
        <v>435</v>
      </c>
      <c r="G36" s="338"/>
      <c r="H36" s="338"/>
      <c r="I36" s="338"/>
      <c r="J36" s="338"/>
      <c r="K36" s="338"/>
      <c r="L36" s="338"/>
      <c r="M36" s="338"/>
      <c r="N36" s="338"/>
    </row>
    <row r="37" spans="1:14" ht="15">
      <c r="A37" s="64" t="s">
        <v>77</v>
      </c>
      <c r="B37" s="63">
        <v>1348.01</v>
      </c>
      <c r="C37" s="63">
        <v>4209.84</v>
      </c>
      <c r="D37" s="63">
        <f aca="true" t="shared" si="1" ref="D37:D44">B37+C37</f>
        <v>5557.85</v>
      </c>
      <c r="E37" s="97"/>
      <c r="F37" s="97"/>
      <c r="G37" s="97">
        <v>5.3</v>
      </c>
      <c r="H37" s="97">
        <v>4478.55</v>
      </c>
      <c r="I37" s="97">
        <v>615</v>
      </c>
      <c r="J37" s="97">
        <v>174</v>
      </c>
      <c r="K37" s="97">
        <v>285</v>
      </c>
      <c r="L37" s="97"/>
      <c r="M37" s="97"/>
      <c r="N37" s="97"/>
    </row>
    <row r="38" spans="1:14" ht="15">
      <c r="A38" s="64" t="s">
        <v>76</v>
      </c>
      <c r="B38" s="63">
        <v>1719.78</v>
      </c>
      <c r="C38" s="63">
        <v>9803.98</v>
      </c>
      <c r="D38" s="63">
        <f t="shared" si="1"/>
        <v>11523.76</v>
      </c>
      <c r="E38" s="97"/>
      <c r="F38" s="97"/>
      <c r="G38" s="97">
        <v>13.7</v>
      </c>
      <c r="H38" s="97">
        <v>10429.77</v>
      </c>
      <c r="I38" s="97">
        <v>722</v>
      </c>
      <c r="J38" s="97">
        <v>158</v>
      </c>
      <c r="K38" s="97">
        <v>200</v>
      </c>
      <c r="L38" s="97"/>
      <c r="M38" s="97"/>
      <c r="N38" s="97"/>
    </row>
    <row r="39" spans="1:14" ht="15">
      <c r="A39" s="64" t="s">
        <v>36</v>
      </c>
      <c r="B39" s="63">
        <v>2110.18</v>
      </c>
      <c r="C39" s="63">
        <v>7193.82</v>
      </c>
      <c r="D39" s="63">
        <f t="shared" si="1"/>
        <v>9304</v>
      </c>
      <c r="E39" s="97"/>
      <c r="F39" s="97"/>
      <c r="G39" s="97">
        <v>13</v>
      </c>
      <c r="H39" s="97">
        <v>7653</v>
      </c>
      <c r="I39" s="97">
        <v>1124</v>
      </c>
      <c r="J39" s="97">
        <v>274</v>
      </c>
      <c r="K39" s="97">
        <v>240</v>
      </c>
      <c r="L39" s="97"/>
      <c r="M39" s="97"/>
      <c r="N39" s="97"/>
    </row>
    <row r="40" spans="1:14" ht="15">
      <c r="A40" s="64" t="s">
        <v>35</v>
      </c>
      <c r="B40" s="63">
        <v>3018.62</v>
      </c>
      <c r="C40" s="63">
        <v>10177.38</v>
      </c>
      <c r="D40" s="63">
        <f t="shared" si="1"/>
        <v>13196</v>
      </c>
      <c r="E40" s="97"/>
      <c r="F40" s="97"/>
      <c r="G40" s="97">
        <v>85</v>
      </c>
      <c r="H40" s="97">
        <v>10827</v>
      </c>
      <c r="I40" s="97">
        <v>1893</v>
      </c>
      <c r="J40" s="97">
        <v>328</v>
      </c>
      <c r="K40" s="97">
        <v>63</v>
      </c>
      <c r="L40" s="97"/>
      <c r="M40" s="97"/>
      <c r="N40" s="97"/>
    </row>
    <row r="41" spans="1:14" ht="15">
      <c r="A41" s="64" t="s">
        <v>34</v>
      </c>
      <c r="B41" s="63">
        <v>3280.9</v>
      </c>
      <c r="C41" s="63">
        <v>6923.1</v>
      </c>
      <c r="D41" s="63">
        <f t="shared" si="1"/>
        <v>10204</v>
      </c>
      <c r="E41" s="97"/>
      <c r="F41" s="97"/>
      <c r="G41" s="97">
        <v>106</v>
      </c>
      <c r="H41" s="97">
        <v>7365</v>
      </c>
      <c r="I41" s="97">
        <v>2215</v>
      </c>
      <c r="J41" s="97">
        <v>367</v>
      </c>
      <c r="K41" s="97">
        <v>151</v>
      </c>
      <c r="L41" s="97"/>
      <c r="M41" s="97"/>
      <c r="N41" s="97"/>
    </row>
    <row r="42" spans="1:14" ht="15">
      <c r="A42" s="64" t="s">
        <v>33</v>
      </c>
      <c r="B42" s="63">
        <v>3623.9</v>
      </c>
      <c r="C42" s="63">
        <v>7346.1</v>
      </c>
      <c r="D42" s="63">
        <f t="shared" si="1"/>
        <v>10970</v>
      </c>
      <c r="E42" s="97"/>
      <c r="F42" s="97"/>
      <c r="G42" s="97">
        <v>125</v>
      </c>
      <c r="H42" s="97">
        <v>7815</v>
      </c>
      <c r="I42" s="97">
        <v>2317</v>
      </c>
      <c r="J42" s="97">
        <v>625</v>
      </c>
      <c r="K42" s="97">
        <v>88</v>
      </c>
      <c r="L42" s="97"/>
      <c r="M42" s="97"/>
      <c r="N42" s="97"/>
    </row>
    <row r="43" spans="1:14" ht="15">
      <c r="A43" s="64" t="s">
        <v>32</v>
      </c>
      <c r="B43" s="63">
        <v>6073.7</v>
      </c>
      <c r="C43" s="63">
        <v>10805.3</v>
      </c>
      <c r="D43" s="63">
        <f t="shared" si="1"/>
        <v>16879</v>
      </c>
      <c r="E43" s="97"/>
      <c r="F43" s="97"/>
      <c r="G43" s="97">
        <v>142</v>
      </c>
      <c r="H43" s="97">
        <v>11495</v>
      </c>
      <c r="I43" s="97">
        <v>2511</v>
      </c>
      <c r="J43" s="97">
        <v>1412</v>
      </c>
      <c r="K43" s="97">
        <v>1319</v>
      </c>
      <c r="L43" s="97"/>
      <c r="M43" s="97"/>
      <c r="N43" s="97"/>
    </row>
    <row r="44" spans="1:14" ht="15">
      <c r="A44" s="64" t="s">
        <v>31</v>
      </c>
      <c r="B44" s="63">
        <v>6526</v>
      </c>
      <c r="C44" s="63">
        <v>8460</v>
      </c>
      <c r="D44" s="63">
        <f t="shared" si="1"/>
        <v>14986</v>
      </c>
      <c r="E44" s="97"/>
      <c r="F44" s="97"/>
      <c r="G44" s="97">
        <v>160</v>
      </c>
      <c r="H44" s="97">
        <v>9000</v>
      </c>
      <c r="I44" s="97">
        <v>2895</v>
      </c>
      <c r="J44" s="97">
        <v>1542</v>
      </c>
      <c r="K44" s="97">
        <v>1389</v>
      </c>
      <c r="L44" s="97"/>
      <c r="M44" s="97"/>
      <c r="N44" s="97"/>
    </row>
    <row r="45" ht="12.75">
      <c r="A45" s="1" t="s">
        <v>434</v>
      </c>
    </row>
    <row r="48" spans="9:16" ht="14.25">
      <c r="I48" s="10"/>
      <c r="J48" s="48"/>
      <c r="K48" s="48"/>
      <c r="L48" s="48"/>
      <c r="M48" s="48"/>
      <c r="N48" s="95"/>
      <c r="O48" s="10"/>
      <c r="P48" s="10"/>
    </row>
    <row r="49" spans="9:16" ht="12.75">
      <c r="I49" s="10"/>
      <c r="J49" s="94"/>
      <c r="K49" s="94"/>
      <c r="L49" s="94"/>
      <c r="M49" s="94"/>
      <c r="N49" s="94"/>
      <c r="O49" s="10"/>
      <c r="P49" s="10"/>
    </row>
    <row r="50" spans="9:16" ht="12.75">
      <c r="I50" s="10"/>
      <c r="J50" s="94"/>
      <c r="K50" s="94"/>
      <c r="L50" s="94"/>
      <c r="M50" s="94"/>
      <c r="N50" s="94"/>
      <c r="O50" s="10"/>
      <c r="P50" s="10"/>
    </row>
    <row r="51" spans="9:16" ht="12.75">
      <c r="I51" s="10"/>
      <c r="J51" s="94"/>
      <c r="K51" s="94"/>
      <c r="L51" s="94"/>
      <c r="M51" s="94"/>
      <c r="N51" s="94"/>
      <c r="O51" s="10"/>
      <c r="P51" s="10"/>
    </row>
    <row r="52" spans="9:16" ht="12.75">
      <c r="I52" s="10"/>
      <c r="J52" s="94"/>
      <c r="K52" s="94"/>
      <c r="L52" s="94"/>
      <c r="M52" s="94"/>
      <c r="N52" s="94"/>
      <c r="O52" s="10"/>
      <c r="P52" s="10"/>
    </row>
    <row r="53" spans="9:16" ht="12.75">
      <c r="I53" s="10"/>
      <c r="J53" s="10"/>
      <c r="K53" s="10"/>
      <c r="L53" s="10"/>
      <c r="M53" s="10"/>
      <c r="N53" s="10"/>
      <c r="O53" s="10"/>
      <c r="P53" s="10"/>
    </row>
    <row r="54" spans="9:16" ht="12.75">
      <c r="I54" s="10"/>
      <c r="J54" s="10"/>
      <c r="K54" s="10"/>
      <c r="L54" s="10"/>
      <c r="M54" s="10"/>
      <c r="N54" s="10"/>
      <c r="O54" s="10"/>
      <c r="P54" s="10"/>
    </row>
    <row r="55" spans="9:16" ht="12.75">
      <c r="I55" s="10"/>
      <c r="J55" s="10"/>
      <c r="K55" s="10"/>
      <c r="L55" s="10"/>
      <c r="M55" s="10"/>
      <c r="N55" s="10"/>
      <c r="O55" s="10"/>
      <c r="P55" s="10"/>
    </row>
  </sheetData>
  <sheetProtection/>
  <mergeCells count="58">
    <mergeCell ref="A1:N1"/>
    <mergeCell ref="A2:L2"/>
    <mergeCell ref="M2:N2"/>
    <mergeCell ref="A3:N3"/>
    <mergeCell ref="A4:A8"/>
    <mergeCell ref="B4:N4"/>
    <mergeCell ref="B5:D5"/>
    <mergeCell ref="E5:L5"/>
    <mergeCell ref="M5:N5"/>
    <mergeCell ref="B6:B8"/>
    <mergeCell ref="C6:C8"/>
    <mergeCell ref="D6:D8"/>
    <mergeCell ref="E6:G6"/>
    <mergeCell ref="H6:H8"/>
    <mergeCell ref="I6:I8"/>
    <mergeCell ref="L6:L8"/>
    <mergeCell ref="M6:M8"/>
    <mergeCell ref="N6:N8"/>
    <mergeCell ref="E7:F7"/>
    <mergeCell ref="G7:G8"/>
    <mergeCell ref="J6:J8"/>
    <mergeCell ref="K6:K8"/>
    <mergeCell ref="A18:A22"/>
    <mergeCell ref="B18:N18"/>
    <mergeCell ref="B19:D19"/>
    <mergeCell ref="E19:L19"/>
    <mergeCell ref="M19:N19"/>
    <mergeCell ref="B20:B22"/>
    <mergeCell ref="C20:C22"/>
    <mergeCell ref="D20:D22"/>
    <mergeCell ref="E20:G20"/>
    <mergeCell ref="H20:H22"/>
    <mergeCell ref="A32:A36"/>
    <mergeCell ref="B32:N32"/>
    <mergeCell ref="B33:D33"/>
    <mergeCell ref="E33:L33"/>
    <mergeCell ref="M33:N33"/>
    <mergeCell ref="B34:B36"/>
    <mergeCell ref="C34:C36"/>
    <mergeCell ref="D34:D36"/>
    <mergeCell ref="K34:K36"/>
    <mergeCell ref="L34:L36"/>
    <mergeCell ref="M20:M22"/>
    <mergeCell ref="N20:N22"/>
    <mergeCell ref="M34:M36"/>
    <mergeCell ref="N34:N36"/>
    <mergeCell ref="E35:F35"/>
    <mergeCell ref="G35:G36"/>
    <mergeCell ref="E34:G34"/>
    <mergeCell ref="H34:H36"/>
    <mergeCell ref="I34:I36"/>
    <mergeCell ref="J34:J36"/>
    <mergeCell ref="E21:F21"/>
    <mergeCell ref="G21:G22"/>
    <mergeCell ref="I20:I22"/>
    <mergeCell ref="J20:J22"/>
    <mergeCell ref="K20:K22"/>
    <mergeCell ref="L20:L22"/>
  </mergeCells>
  <printOptions horizontalCentered="1"/>
  <pageMargins left="0.275590551181102" right="0.275590551181102" top="0.551181102362205" bottom="0.51" header="0.354330708661417" footer="0.15748031496063"/>
  <pageSetup firstPageNumber="116" useFirstPageNumber="1" horizontalDpi="600" verticalDpi="600" orientation="landscape" paperSize="9" scale="70"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N60"/>
  <sheetViews>
    <sheetView zoomScalePageLayoutView="0" workbookViewId="0" topLeftCell="A1">
      <selection activeCell="E58" sqref="E58"/>
    </sheetView>
  </sheetViews>
  <sheetFormatPr defaultColWidth="9.140625" defaultRowHeight="15"/>
  <cols>
    <col min="1" max="1" width="12.7109375" style="71" customWidth="1"/>
    <col min="2" max="4" width="12.28125" style="71" customWidth="1"/>
    <col min="5" max="5" width="15.57421875" style="71" customWidth="1"/>
    <col min="6" max="6" width="10.140625" style="71" customWidth="1"/>
    <col min="7" max="7" width="14.00390625" style="71" customWidth="1"/>
    <col min="8" max="8" width="16.7109375" style="71" customWidth="1"/>
    <col min="9" max="9" width="14.140625" style="71" customWidth="1"/>
    <col min="10" max="10" width="13.28125" style="71" customWidth="1"/>
    <col min="11" max="11" width="13.57421875" style="71" customWidth="1"/>
    <col min="12" max="12" width="10.00390625" style="71" customWidth="1"/>
    <col min="13" max="13" width="12.7109375" style="71" customWidth="1"/>
    <col min="14" max="14" width="14.421875" style="71" customWidth="1"/>
    <col min="15" max="16384" width="9.140625" style="71" customWidth="1"/>
  </cols>
  <sheetData>
    <row r="1" spans="1:14" ht="15.75">
      <c r="A1" s="315" t="s">
        <v>460</v>
      </c>
      <c r="B1" s="315"/>
      <c r="C1" s="315"/>
      <c r="D1" s="315"/>
      <c r="E1" s="315"/>
      <c r="F1" s="315"/>
      <c r="G1" s="315"/>
      <c r="H1" s="315"/>
      <c r="I1" s="315"/>
      <c r="J1" s="315"/>
      <c r="K1" s="315"/>
      <c r="L1" s="315"/>
      <c r="M1" s="315"/>
      <c r="N1" s="315"/>
    </row>
    <row r="2" spans="1:14" ht="15.75">
      <c r="A2" s="351" t="s">
        <v>459</v>
      </c>
      <c r="B2" s="351"/>
      <c r="C2" s="351"/>
      <c r="D2" s="351"/>
      <c r="E2" s="351"/>
      <c r="F2" s="351"/>
      <c r="G2" s="351"/>
      <c r="H2" s="351"/>
      <c r="I2" s="351"/>
      <c r="J2" s="351"/>
      <c r="K2" s="351"/>
      <c r="L2" s="351"/>
      <c r="M2" s="352" t="s">
        <v>454</v>
      </c>
      <c r="N2" s="352"/>
    </row>
    <row r="3" spans="1:14" ht="15">
      <c r="A3" s="353" t="s">
        <v>458</v>
      </c>
      <c r="B3" s="353"/>
      <c r="C3" s="353"/>
      <c r="D3" s="353"/>
      <c r="E3" s="353"/>
      <c r="F3" s="353"/>
      <c r="G3" s="353"/>
      <c r="H3" s="353"/>
      <c r="I3" s="353"/>
      <c r="J3" s="353"/>
      <c r="K3" s="353"/>
      <c r="L3" s="353"/>
      <c r="M3" s="353"/>
      <c r="N3" s="353"/>
    </row>
    <row r="4" spans="1:14" s="116" customFormat="1" ht="18.75" customHeight="1">
      <c r="A4" s="350" t="s">
        <v>345</v>
      </c>
      <c r="B4" s="350" t="s">
        <v>21</v>
      </c>
      <c r="C4" s="350"/>
      <c r="D4" s="350"/>
      <c r="E4" s="350"/>
      <c r="F4" s="350"/>
      <c r="G4" s="350"/>
      <c r="H4" s="350"/>
      <c r="I4" s="350"/>
      <c r="J4" s="350"/>
      <c r="K4" s="350"/>
      <c r="L4" s="350"/>
      <c r="M4" s="350"/>
      <c r="N4" s="350"/>
    </row>
    <row r="5" spans="1:14" s="116" customFormat="1" ht="28.5" customHeight="1">
      <c r="A5" s="350"/>
      <c r="B5" s="350" t="s">
        <v>451</v>
      </c>
      <c r="C5" s="350"/>
      <c r="D5" s="350"/>
      <c r="E5" s="350" t="s">
        <v>450</v>
      </c>
      <c r="F5" s="350"/>
      <c r="G5" s="350"/>
      <c r="H5" s="350"/>
      <c r="I5" s="350"/>
      <c r="J5" s="350"/>
      <c r="K5" s="350"/>
      <c r="L5" s="350"/>
      <c r="M5" s="350" t="s">
        <v>449</v>
      </c>
      <c r="N5" s="350"/>
    </row>
    <row r="6" spans="1:14" s="116" customFormat="1" ht="20.25" customHeight="1">
      <c r="A6" s="350"/>
      <c r="B6" s="350" t="s">
        <v>448</v>
      </c>
      <c r="C6" s="350" t="s">
        <v>447</v>
      </c>
      <c r="D6" s="350" t="s">
        <v>2</v>
      </c>
      <c r="E6" s="350" t="s">
        <v>446</v>
      </c>
      <c r="F6" s="350"/>
      <c r="G6" s="350"/>
      <c r="H6" s="350" t="s">
        <v>445</v>
      </c>
      <c r="I6" s="350" t="s">
        <v>444</v>
      </c>
      <c r="J6" s="350" t="s">
        <v>443</v>
      </c>
      <c r="K6" s="350" t="s">
        <v>442</v>
      </c>
      <c r="L6" s="350" t="s">
        <v>441</v>
      </c>
      <c r="M6" s="350" t="s">
        <v>440</v>
      </c>
      <c r="N6" s="350" t="s">
        <v>439</v>
      </c>
    </row>
    <row r="7" spans="1:14" s="116" customFormat="1" ht="20.25" customHeight="1">
      <c r="A7" s="350"/>
      <c r="B7" s="350"/>
      <c r="C7" s="350"/>
      <c r="D7" s="350"/>
      <c r="E7" s="350" t="s">
        <v>438</v>
      </c>
      <c r="F7" s="350"/>
      <c r="G7" s="350" t="s">
        <v>437</v>
      </c>
      <c r="H7" s="350"/>
      <c r="I7" s="350"/>
      <c r="J7" s="350"/>
      <c r="K7" s="350"/>
      <c r="L7" s="350"/>
      <c r="M7" s="350"/>
      <c r="N7" s="350"/>
    </row>
    <row r="8" spans="1:14" s="116" customFormat="1" ht="24">
      <c r="A8" s="350"/>
      <c r="B8" s="350"/>
      <c r="C8" s="350"/>
      <c r="D8" s="350"/>
      <c r="E8" s="259" t="s">
        <v>436</v>
      </c>
      <c r="F8" s="259" t="s">
        <v>435</v>
      </c>
      <c r="G8" s="350"/>
      <c r="H8" s="350"/>
      <c r="I8" s="350"/>
      <c r="J8" s="350"/>
      <c r="K8" s="350"/>
      <c r="L8" s="350"/>
      <c r="M8" s="350"/>
      <c r="N8" s="350"/>
    </row>
    <row r="9" spans="1:14" ht="12.75">
      <c r="A9" s="76" t="s">
        <v>36</v>
      </c>
      <c r="B9" s="115">
        <v>408.03</v>
      </c>
      <c r="C9" s="115">
        <v>68.13999999999999</v>
      </c>
      <c r="D9" s="115">
        <v>476.16999999999996</v>
      </c>
      <c r="E9" s="76">
        <v>0</v>
      </c>
      <c r="F9" s="114">
        <v>25.51</v>
      </c>
      <c r="G9" s="76">
        <v>291.76</v>
      </c>
      <c r="H9" s="76">
        <v>0</v>
      </c>
      <c r="I9" s="114">
        <v>16.79</v>
      </c>
      <c r="J9" s="114">
        <v>162.44</v>
      </c>
      <c r="K9" s="114"/>
      <c r="L9" s="76">
        <v>10.46</v>
      </c>
      <c r="M9" s="76">
        <v>0</v>
      </c>
      <c r="N9" s="76">
        <v>0</v>
      </c>
    </row>
    <row r="10" spans="1:14" ht="12.75">
      <c r="A10" s="76" t="s">
        <v>35</v>
      </c>
      <c r="B10" s="115">
        <v>448.83300000000014</v>
      </c>
      <c r="C10" s="115">
        <v>74.95400000000001</v>
      </c>
      <c r="D10" s="115">
        <v>523.7870000000001</v>
      </c>
      <c r="E10" s="76">
        <v>0</v>
      </c>
      <c r="F10" s="114">
        <v>25.52</v>
      </c>
      <c r="G10" s="76">
        <v>296.05</v>
      </c>
      <c r="H10" s="76">
        <v>0</v>
      </c>
      <c r="I10" s="114">
        <v>1.84</v>
      </c>
      <c r="J10" s="114">
        <v>195.22</v>
      </c>
      <c r="K10" s="114"/>
      <c r="L10" s="76">
        <v>8.85</v>
      </c>
      <c r="M10" s="76">
        <v>0</v>
      </c>
      <c r="N10" s="76">
        <v>0</v>
      </c>
    </row>
    <row r="11" spans="1:14" ht="12.75">
      <c r="A11" s="76" t="s">
        <v>34</v>
      </c>
      <c r="B11" s="115">
        <v>493.7162999999998</v>
      </c>
      <c r="C11" s="115">
        <v>82.44939999999997</v>
      </c>
      <c r="D11" s="115">
        <v>576.1656999999998</v>
      </c>
      <c r="E11" s="76">
        <v>0</v>
      </c>
      <c r="F11" s="114">
        <v>26.8</v>
      </c>
      <c r="G11" s="76">
        <v>324.22</v>
      </c>
      <c r="H11" s="76">
        <v>0</v>
      </c>
      <c r="I11" s="114">
        <v>8.86</v>
      </c>
      <c r="J11" s="114">
        <v>221.39</v>
      </c>
      <c r="K11" s="114"/>
      <c r="L11" s="76">
        <v>4.3</v>
      </c>
      <c r="M11" s="76">
        <v>0</v>
      </c>
      <c r="N11" s="76">
        <v>0</v>
      </c>
    </row>
    <row r="12" spans="1:14" ht="12.75">
      <c r="A12" s="76" t="s">
        <v>33</v>
      </c>
      <c r="B12" s="115">
        <v>543.0879299999998</v>
      </c>
      <c r="C12" s="115">
        <v>90.69434000000001</v>
      </c>
      <c r="D12" s="115">
        <v>633.7822699999998</v>
      </c>
      <c r="E12" s="76">
        <v>0</v>
      </c>
      <c r="F12" s="114">
        <v>31.5</v>
      </c>
      <c r="G12" s="114">
        <v>374.94000000000005</v>
      </c>
      <c r="H12" s="76">
        <v>0</v>
      </c>
      <c r="I12" s="114">
        <v>155.82</v>
      </c>
      <c r="J12" s="114">
        <v>145.2</v>
      </c>
      <c r="K12" s="114"/>
      <c r="L12" s="76">
        <v>218.7</v>
      </c>
      <c r="M12" s="76">
        <v>0</v>
      </c>
      <c r="N12" s="76">
        <v>0</v>
      </c>
    </row>
    <row r="13" spans="1:14" ht="12.75">
      <c r="A13" s="76" t="s">
        <v>32</v>
      </c>
      <c r="B13" s="115">
        <v>597.3967229999998</v>
      </c>
      <c r="C13" s="115">
        <v>99.76377400000001</v>
      </c>
      <c r="D13" s="115">
        <v>697.1604969999999</v>
      </c>
      <c r="E13" s="76">
        <v>0</v>
      </c>
      <c r="F13" s="114">
        <v>53.1</v>
      </c>
      <c r="G13" s="114">
        <v>423.03000000000003</v>
      </c>
      <c r="H13" s="76">
        <v>0</v>
      </c>
      <c r="I13" s="114">
        <v>499.02</v>
      </c>
      <c r="J13" s="114">
        <v>165.17</v>
      </c>
      <c r="K13" s="114">
        <v>129.44</v>
      </c>
      <c r="L13" s="76"/>
      <c r="M13" s="76">
        <v>0</v>
      </c>
      <c r="N13" s="76">
        <v>0</v>
      </c>
    </row>
    <row r="14" spans="1:14" ht="12.75">
      <c r="A14" s="76" t="s">
        <v>31</v>
      </c>
      <c r="B14" s="115">
        <v>657.1363953</v>
      </c>
      <c r="C14" s="115">
        <v>109.74015139999995</v>
      </c>
      <c r="D14" s="115">
        <v>766.8765467</v>
      </c>
      <c r="E14" s="76">
        <v>0</v>
      </c>
      <c r="F14" s="114">
        <v>55.760000000000005</v>
      </c>
      <c r="G14" s="114">
        <v>444.18</v>
      </c>
      <c r="H14" s="76">
        <v>0</v>
      </c>
      <c r="I14" s="114">
        <v>464.86</v>
      </c>
      <c r="J14" s="114">
        <v>191.14</v>
      </c>
      <c r="K14" s="114">
        <v>127.56</v>
      </c>
      <c r="L14" s="76"/>
      <c r="M14" s="76">
        <v>0</v>
      </c>
      <c r="N14" s="76">
        <v>0</v>
      </c>
    </row>
    <row r="15" spans="1:14" ht="12.75">
      <c r="A15" s="76" t="s">
        <v>30</v>
      </c>
      <c r="B15" s="115">
        <v>722.8500348299999</v>
      </c>
      <c r="C15" s="115">
        <v>120.71416653999995</v>
      </c>
      <c r="D15" s="115">
        <v>843.5642013699999</v>
      </c>
      <c r="E15" s="76">
        <v>0</v>
      </c>
      <c r="F15" s="114">
        <v>58.540000000000006</v>
      </c>
      <c r="G15" s="114">
        <v>466.39000000000004</v>
      </c>
      <c r="H15" s="76">
        <v>0</v>
      </c>
      <c r="I15" s="114">
        <v>740.39</v>
      </c>
      <c r="J15" s="114">
        <v>199.27</v>
      </c>
      <c r="K15" s="114">
        <v>123.76</v>
      </c>
      <c r="L15" s="76"/>
      <c r="M15" s="76">
        <v>0</v>
      </c>
      <c r="N15" s="76">
        <v>0</v>
      </c>
    </row>
    <row r="16" spans="1:14" ht="12.75">
      <c r="A16" s="76" t="s">
        <v>29</v>
      </c>
      <c r="B16" s="115">
        <v>795.135038313</v>
      </c>
      <c r="C16" s="115">
        <v>132.78558319400008</v>
      </c>
      <c r="D16" s="115">
        <v>927.9206215070001</v>
      </c>
      <c r="E16" s="76">
        <v>0</v>
      </c>
      <c r="F16" s="114">
        <v>61.47</v>
      </c>
      <c r="G16" s="114">
        <v>489.7099999999999</v>
      </c>
      <c r="H16" s="76">
        <v>0</v>
      </c>
      <c r="I16" s="114">
        <v>993.47</v>
      </c>
      <c r="J16" s="114">
        <v>290.35</v>
      </c>
      <c r="K16" s="114">
        <v>117.63</v>
      </c>
      <c r="L16" s="76"/>
      <c r="M16" s="76">
        <v>0</v>
      </c>
      <c r="N16" s="76">
        <v>0</v>
      </c>
    </row>
    <row r="17" spans="1:14" ht="12.75">
      <c r="A17" s="76" t="s">
        <v>28</v>
      </c>
      <c r="B17" s="115">
        <v>874.6485421443006</v>
      </c>
      <c r="C17" s="115">
        <v>146.06414151339993</v>
      </c>
      <c r="D17" s="115">
        <v>1020.7126836577005</v>
      </c>
      <c r="E17" s="76">
        <v>0</v>
      </c>
      <c r="F17" s="114">
        <v>64.53999999999999</v>
      </c>
      <c r="G17" s="114">
        <v>514.1999999999999</v>
      </c>
      <c r="H17" s="76">
        <v>0</v>
      </c>
      <c r="I17" s="114"/>
      <c r="J17" s="114">
        <v>574.87</v>
      </c>
      <c r="K17" s="114"/>
      <c r="L17" s="76"/>
      <c r="M17" s="76">
        <v>0</v>
      </c>
      <c r="N17" s="76">
        <v>0</v>
      </c>
    </row>
    <row r="18" spans="1:14" ht="12.75">
      <c r="A18" s="76" t="s">
        <v>27</v>
      </c>
      <c r="B18" s="115">
        <v>962.1133963587299</v>
      </c>
      <c r="C18" s="115">
        <v>160.67055566474005</v>
      </c>
      <c r="D18" s="115">
        <v>1122.78395202347</v>
      </c>
      <c r="E18" s="76">
        <v>0</v>
      </c>
      <c r="F18" s="114">
        <v>70.994</v>
      </c>
      <c r="G18" s="114">
        <v>565.62</v>
      </c>
      <c r="H18" s="76">
        <v>0</v>
      </c>
      <c r="I18" s="114"/>
      <c r="J18" s="114">
        <v>628.83</v>
      </c>
      <c r="K18" s="114"/>
      <c r="L18" s="76"/>
      <c r="M18" s="76">
        <v>0</v>
      </c>
      <c r="N18" s="76">
        <v>0</v>
      </c>
    </row>
    <row r="19" spans="1:14" ht="12.75">
      <c r="A19" s="76" t="s">
        <v>457</v>
      </c>
      <c r="B19" s="115">
        <v>1058.324735994603</v>
      </c>
      <c r="C19" s="115">
        <v>176.73761123121403</v>
      </c>
      <c r="D19" s="115">
        <v>1235.0623472258171</v>
      </c>
      <c r="E19" s="76">
        <v>0</v>
      </c>
      <c r="F19" s="114">
        <v>78.0934</v>
      </c>
      <c r="G19" s="114">
        <v>622.182</v>
      </c>
      <c r="H19" s="76">
        <v>0</v>
      </c>
      <c r="I19" s="114"/>
      <c r="J19" s="114">
        <v>689.24</v>
      </c>
      <c r="K19" s="114"/>
      <c r="L19" s="76"/>
      <c r="M19" s="76">
        <v>0</v>
      </c>
      <c r="N19" s="76">
        <v>0</v>
      </c>
    </row>
    <row r="20" spans="1:14" ht="12.75">
      <c r="A20" s="76" t="s">
        <v>25</v>
      </c>
      <c r="B20" s="115">
        <v>1164.1572095940628</v>
      </c>
      <c r="C20" s="115">
        <v>194.41137235433553</v>
      </c>
      <c r="D20" s="115">
        <v>1358.5685819483983</v>
      </c>
      <c r="E20" s="76">
        <v>0</v>
      </c>
      <c r="F20" s="114">
        <v>85.90274000000002</v>
      </c>
      <c r="G20" s="114">
        <v>684.4002</v>
      </c>
      <c r="H20" s="76">
        <v>0</v>
      </c>
      <c r="I20" s="114"/>
      <c r="J20" s="114">
        <v>756.91</v>
      </c>
      <c r="K20" s="114"/>
      <c r="L20" s="76"/>
      <c r="M20" s="76">
        <v>0</v>
      </c>
      <c r="N20" s="76">
        <v>0</v>
      </c>
    </row>
    <row r="21" spans="1:14" ht="12.75">
      <c r="A21" s="76" t="s">
        <v>24</v>
      </c>
      <c r="B21" s="115">
        <v>1280.5729305534699</v>
      </c>
      <c r="C21" s="115">
        <v>213.85250958976894</v>
      </c>
      <c r="D21" s="115">
        <v>1494.4254401432388</v>
      </c>
      <c r="E21" s="76">
        <v>0</v>
      </c>
      <c r="F21" s="114">
        <v>94.49301400000002</v>
      </c>
      <c r="G21" s="114">
        <v>752.8402200000002</v>
      </c>
      <c r="H21" s="76">
        <v>0</v>
      </c>
      <c r="I21" s="114"/>
      <c r="J21" s="114">
        <v>832.8</v>
      </c>
      <c r="K21" s="114"/>
      <c r="L21" s="76"/>
      <c r="M21" s="76">
        <v>0</v>
      </c>
      <c r="N21" s="76">
        <v>0</v>
      </c>
    </row>
    <row r="23" spans="1:14" s="116" customFormat="1" ht="18.75" customHeight="1">
      <c r="A23" s="350" t="s">
        <v>345</v>
      </c>
      <c r="B23" s="350" t="s">
        <v>20</v>
      </c>
      <c r="C23" s="350"/>
      <c r="D23" s="350"/>
      <c r="E23" s="350"/>
      <c r="F23" s="350"/>
      <c r="G23" s="350"/>
      <c r="H23" s="350"/>
      <c r="I23" s="350"/>
      <c r="J23" s="350"/>
      <c r="K23" s="350"/>
      <c r="L23" s="350"/>
      <c r="M23" s="350"/>
      <c r="N23" s="350"/>
    </row>
    <row r="24" spans="1:14" s="116" customFormat="1" ht="28.5" customHeight="1">
      <c r="A24" s="350"/>
      <c r="B24" s="350" t="s">
        <v>451</v>
      </c>
      <c r="C24" s="350"/>
      <c r="D24" s="350"/>
      <c r="E24" s="350" t="s">
        <v>450</v>
      </c>
      <c r="F24" s="350"/>
      <c r="G24" s="350"/>
      <c r="H24" s="350"/>
      <c r="I24" s="350"/>
      <c r="J24" s="350"/>
      <c r="K24" s="350"/>
      <c r="L24" s="350"/>
      <c r="M24" s="350" t="s">
        <v>449</v>
      </c>
      <c r="N24" s="350"/>
    </row>
    <row r="25" spans="1:14" s="116" customFormat="1" ht="20.25" customHeight="1">
      <c r="A25" s="350"/>
      <c r="B25" s="350" t="s">
        <v>448</v>
      </c>
      <c r="C25" s="350" t="s">
        <v>447</v>
      </c>
      <c r="D25" s="350" t="s">
        <v>2</v>
      </c>
      <c r="E25" s="350" t="s">
        <v>446</v>
      </c>
      <c r="F25" s="350"/>
      <c r="G25" s="350"/>
      <c r="H25" s="350" t="s">
        <v>445</v>
      </c>
      <c r="I25" s="350" t="s">
        <v>444</v>
      </c>
      <c r="J25" s="350" t="s">
        <v>443</v>
      </c>
      <c r="K25" s="350" t="s">
        <v>442</v>
      </c>
      <c r="L25" s="350" t="s">
        <v>441</v>
      </c>
      <c r="M25" s="350" t="s">
        <v>440</v>
      </c>
      <c r="N25" s="350" t="s">
        <v>439</v>
      </c>
    </row>
    <row r="26" spans="1:14" s="116" customFormat="1" ht="20.25" customHeight="1">
      <c r="A26" s="350"/>
      <c r="B26" s="350"/>
      <c r="C26" s="350"/>
      <c r="D26" s="350"/>
      <c r="E26" s="350" t="s">
        <v>438</v>
      </c>
      <c r="F26" s="350"/>
      <c r="G26" s="350" t="s">
        <v>437</v>
      </c>
      <c r="H26" s="350"/>
      <c r="I26" s="350"/>
      <c r="J26" s="350"/>
      <c r="K26" s="350"/>
      <c r="L26" s="350"/>
      <c r="M26" s="350"/>
      <c r="N26" s="350"/>
    </row>
    <row r="27" spans="1:14" s="116" customFormat="1" ht="24">
      <c r="A27" s="350"/>
      <c r="B27" s="350"/>
      <c r="C27" s="350"/>
      <c r="D27" s="350"/>
      <c r="E27" s="259" t="s">
        <v>436</v>
      </c>
      <c r="F27" s="259" t="s">
        <v>435</v>
      </c>
      <c r="G27" s="350"/>
      <c r="H27" s="350"/>
      <c r="I27" s="350"/>
      <c r="J27" s="350"/>
      <c r="K27" s="350"/>
      <c r="L27" s="350"/>
      <c r="M27" s="350"/>
      <c r="N27" s="350"/>
    </row>
    <row r="28" spans="1:14" ht="12.75">
      <c r="A28" s="76" t="s">
        <v>36</v>
      </c>
      <c r="B28" s="76">
        <v>71.24000000000001</v>
      </c>
      <c r="C28" s="76">
        <v>1.5499999999999972</v>
      </c>
      <c r="D28" s="114">
        <v>72.79</v>
      </c>
      <c r="E28" s="76">
        <v>0</v>
      </c>
      <c r="F28" s="114">
        <v>9</v>
      </c>
      <c r="G28" s="114">
        <v>41.99</v>
      </c>
      <c r="H28" s="76">
        <v>0</v>
      </c>
      <c r="I28" s="114">
        <v>3.81</v>
      </c>
      <c r="J28" s="76">
        <v>34.46</v>
      </c>
      <c r="K28" s="114"/>
      <c r="L28" s="76">
        <v>6.74</v>
      </c>
      <c r="M28" s="76">
        <v>0</v>
      </c>
      <c r="N28" s="76">
        <v>0</v>
      </c>
    </row>
    <row r="29" spans="1:14" ht="12.75">
      <c r="A29" s="76" t="s">
        <v>35</v>
      </c>
      <c r="B29" s="76">
        <v>79.53</v>
      </c>
      <c r="C29" s="76">
        <v>7.900000000000006</v>
      </c>
      <c r="D29" s="114">
        <v>87.43</v>
      </c>
      <c r="E29" s="76">
        <v>0</v>
      </c>
      <c r="F29" s="114">
        <v>0</v>
      </c>
      <c r="G29" s="114">
        <v>49.08</v>
      </c>
      <c r="H29" s="76">
        <v>0</v>
      </c>
      <c r="I29" s="114">
        <v>4.14</v>
      </c>
      <c r="J29" s="76">
        <v>41.42</v>
      </c>
      <c r="K29" s="114"/>
      <c r="L29" s="76">
        <v>2.27</v>
      </c>
      <c r="M29" s="76">
        <v>0</v>
      </c>
      <c r="N29" s="76">
        <v>0</v>
      </c>
    </row>
    <row r="30" spans="1:14" ht="12.75">
      <c r="A30" s="76" t="s">
        <v>34</v>
      </c>
      <c r="B30" s="76">
        <v>95.44</v>
      </c>
      <c r="C30" s="76">
        <v>4.140000000000001</v>
      </c>
      <c r="D30" s="114">
        <v>99.58</v>
      </c>
      <c r="E30" s="76">
        <v>0</v>
      </c>
      <c r="F30" s="114">
        <v>0</v>
      </c>
      <c r="G30" s="114">
        <v>49.94</v>
      </c>
      <c r="H30" s="76">
        <v>0</v>
      </c>
      <c r="I30" s="114">
        <v>5.09</v>
      </c>
      <c r="J30" s="76">
        <v>47.03</v>
      </c>
      <c r="K30" s="114"/>
      <c r="L30" s="76">
        <v>2.8</v>
      </c>
      <c r="M30" s="76">
        <v>0</v>
      </c>
      <c r="N30" s="76">
        <v>0</v>
      </c>
    </row>
    <row r="31" spans="1:14" ht="12.75">
      <c r="A31" s="76" t="s">
        <v>33</v>
      </c>
      <c r="B31" s="114">
        <v>251.50999999999996</v>
      </c>
      <c r="C31" s="114">
        <v>22.02000000000001</v>
      </c>
      <c r="D31" s="114">
        <v>273.53</v>
      </c>
      <c r="E31" s="76">
        <v>0</v>
      </c>
      <c r="F31" s="114">
        <v>5.15</v>
      </c>
      <c r="G31" s="114">
        <v>108.02</v>
      </c>
      <c r="H31" s="76">
        <v>0</v>
      </c>
      <c r="I31" s="114">
        <v>43.88</v>
      </c>
      <c r="J31" s="76">
        <v>40.89</v>
      </c>
      <c r="K31" s="114"/>
      <c r="L31" s="76">
        <v>217.92</v>
      </c>
      <c r="M31" s="76">
        <v>0</v>
      </c>
      <c r="N31" s="76">
        <v>0</v>
      </c>
    </row>
    <row r="32" spans="1:14" ht="12.75">
      <c r="A32" s="76" t="s">
        <v>32</v>
      </c>
      <c r="B32" s="76">
        <v>293.02000000000004</v>
      </c>
      <c r="C32" s="76">
        <v>17.44999999999999</v>
      </c>
      <c r="D32" s="114">
        <v>310.47</v>
      </c>
      <c r="E32" s="76">
        <v>0</v>
      </c>
      <c r="F32" s="114">
        <v>4.6</v>
      </c>
      <c r="G32" s="114">
        <v>158.72</v>
      </c>
      <c r="H32" s="76">
        <v>0</v>
      </c>
      <c r="I32" s="114">
        <v>140.53</v>
      </c>
      <c r="J32" s="76">
        <v>46.52</v>
      </c>
      <c r="K32" s="114">
        <v>25.76</v>
      </c>
      <c r="L32" s="76"/>
      <c r="M32" s="76">
        <v>0</v>
      </c>
      <c r="N32" s="76">
        <v>0</v>
      </c>
    </row>
    <row r="33" spans="1:14" ht="12.75">
      <c r="A33" s="76" t="s">
        <v>31</v>
      </c>
      <c r="B33" s="114">
        <v>446.05</v>
      </c>
      <c r="C33" s="114">
        <v>55.10000000000002</v>
      </c>
      <c r="D33" s="114">
        <v>537.35</v>
      </c>
      <c r="E33" s="76">
        <v>0</v>
      </c>
      <c r="F33" s="114">
        <v>12.559999999999999</v>
      </c>
      <c r="G33" s="114">
        <v>170.07000000000002</v>
      </c>
      <c r="H33" s="76">
        <v>0</v>
      </c>
      <c r="I33" s="114">
        <v>130.92</v>
      </c>
      <c r="J33" s="76">
        <v>53.82</v>
      </c>
      <c r="K33" s="114">
        <v>33.42</v>
      </c>
      <c r="L33" s="76"/>
      <c r="M33" s="76">
        <v>0</v>
      </c>
      <c r="N33" s="76">
        <v>0</v>
      </c>
    </row>
    <row r="34" spans="1:14" ht="12.75">
      <c r="A34" s="76" t="s">
        <v>30</v>
      </c>
      <c r="B34" s="114">
        <v>512.588</v>
      </c>
      <c r="C34" s="114">
        <v>32.42999999999995</v>
      </c>
      <c r="D34" s="114">
        <v>589.24</v>
      </c>
      <c r="E34" s="76">
        <v>0</v>
      </c>
      <c r="F34" s="114">
        <v>13.565999999999999</v>
      </c>
      <c r="G34" s="114">
        <v>168.7</v>
      </c>
      <c r="H34" s="76">
        <v>0</v>
      </c>
      <c r="I34" s="114">
        <v>208.51</v>
      </c>
      <c r="J34" s="76">
        <v>56.12</v>
      </c>
      <c r="K34" s="114">
        <v>32.43</v>
      </c>
      <c r="L34" s="76"/>
      <c r="M34" s="76">
        <v>0</v>
      </c>
      <c r="N34" s="76">
        <v>0</v>
      </c>
    </row>
    <row r="35" spans="1:14" ht="12.75">
      <c r="A35" s="76" t="s">
        <v>29</v>
      </c>
      <c r="B35" s="114">
        <v>571.4568000000002</v>
      </c>
      <c r="C35" s="115">
        <v>35.673</v>
      </c>
      <c r="D35" s="114">
        <v>655.7740000000001</v>
      </c>
      <c r="E35" s="76">
        <v>0</v>
      </c>
      <c r="F35" s="114">
        <v>14.9226</v>
      </c>
      <c r="G35" s="114">
        <v>100.09999999999998</v>
      </c>
      <c r="H35" s="76">
        <v>0</v>
      </c>
      <c r="I35" s="114">
        <v>229.36</v>
      </c>
      <c r="J35" s="76">
        <v>81.77</v>
      </c>
      <c r="K35" s="114">
        <v>30.81</v>
      </c>
      <c r="L35" s="76"/>
      <c r="M35" s="76">
        <v>0</v>
      </c>
      <c r="N35" s="76">
        <v>0</v>
      </c>
    </row>
    <row r="36" spans="1:14" ht="12.75">
      <c r="A36" s="76" t="s">
        <v>28</v>
      </c>
      <c r="B36" s="114">
        <v>628.60248</v>
      </c>
      <c r="C36" s="115">
        <v>39.24030000000005</v>
      </c>
      <c r="D36" s="114">
        <v>721.3514000000002</v>
      </c>
      <c r="E36" s="76">
        <v>0</v>
      </c>
      <c r="F36" s="114">
        <v>16.414859999999997</v>
      </c>
      <c r="G36" s="114">
        <v>110.11</v>
      </c>
      <c r="H36" s="76">
        <v>0</v>
      </c>
      <c r="I36" s="114"/>
      <c r="J36" s="76">
        <v>120.16</v>
      </c>
      <c r="K36" s="114">
        <v>8.59</v>
      </c>
      <c r="L36" s="76"/>
      <c r="M36" s="76">
        <v>0</v>
      </c>
      <c r="N36" s="76">
        <v>0</v>
      </c>
    </row>
    <row r="37" spans="1:14" ht="12.75">
      <c r="A37" s="76" t="s">
        <v>27</v>
      </c>
      <c r="B37" s="114">
        <v>691.462728</v>
      </c>
      <c r="C37" s="115">
        <v>43.164330000000064</v>
      </c>
      <c r="D37" s="114">
        <v>793.4865399999999</v>
      </c>
      <c r="E37" s="76">
        <v>0</v>
      </c>
      <c r="F37" s="114">
        <v>18.056345999999998</v>
      </c>
      <c r="G37" s="114">
        <v>121.12099999999998</v>
      </c>
      <c r="H37" s="76">
        <v>0</v>
      </c>
      <c r="I37" s="114"/>
      <c r="J37" s="76">
        <v>131.44</v>
      </c>
      <c r="K37" s="114">
        <v>9.4</v>
      </c>
      <c r="L37" s="76"/>
      <c r="M37" s="76">
        <v>0</v>
      </c>
      <c r="N37" s="76">
        <v>0</v>
      </c>
    </row>
    <row r="38" spans="1:14" ht="12.75">
      <c r="A38" s="76" t="s">
        <v>457</v>
      </c>
      <c r="B38" s="114">
        <v>760.6090008000004</v>
      </c>
      <c r="C38" s="115">
        <v>47.480763000000024</v>
      </c>
      <c r="D38" s="114">
        <v>872.8351940000003</v>
      </c>
      <c r="E38" s="76">
        <v>0</v>
      </c>
      <c r="F38" s="114">
        <v>19.8619806</v>
      </c>
      <c r="G38" s="114">
        <v>133.23309999999998</v>
      </c>
      <c r="H38" s="76">
        <v>0</v>
      </c>
      <c r="I38" s="114"/>
      <c r="J38" s="76">
        <v>144.07</v>
      </c>
      <c r="K38" s="114">
        <v>10.3</v>
      </c>
      <c r="L38" s="76"/>
      <c r="M38" s="76">
        <v>0</v>
      </c>
      <c r="N38" s="76">
        <v>0</v>
      </c>
    </row>
    <row r="39" spans="1:14" ht="12.75">
      <c r="A39" s="76" t="s">
        <v>25</v>
      </c>
      <c r="B39" s="114">
        <v>836.6699008800003</v>
      </c>
      <c r="C39" s="115">
        <v>52.228839300000004</v>
      </c>
      <c r="D39" s="114">
        <v>960.1187134000005</v>
      </c>
      <c r="E39" s="76">
        <v>0</v>
      </c>
      <c r="F39" s="114">
        <v>21.84817866</v>
      </c>
      <c r="G39" s="114">
        <v>146.55641</v>
      </c>
      <c r="H39" s="76">
        <v>0</v>
      </c>
      <c r="I39" s="114"/>
      <c r="J39" s="76">
        <v>158.21</v>
      </c>
      <c r="K39" s="114">
        <v>11.31</v>
      </c>
      <c r="L39" s="76"/>
      <c r="M39" s="76">
        <v>0</v>
      </c>
      <c r="N39" s="76">
        <v>0</v>
      </c>
    </row>
    <row r="40" spans="1:14" ht="12.75">
      <c r="A40" s="76" t="s">
        <v>24</v>
      </c>
      <c r="B40" s="114">
        <v>920.3368909680005</v>
      </c>
      <c r="C40" s="115">
        <v>57.45172322999997</v>
      </c>
      <c r="D40" s="114">
        <v>1056.1305847400004</v>
      </c>
      <c r="E40" s="76">
        <v>0</v>
      </c>
      <c r="F40" s="114">
        <v>24.032996525999998</v>
      </c>
      <c r="G40" s="114">
        <v>161.21205100000003</v>
      </c>
      <c r="H40" s="76">
        <v>0</v>
      </c>
      <c r="I40" s="114"/>
      <c r="J40" s="76">
        <v>174.08</v>
      </c>
      <c r="K40" s="114">
        <v>12.45</v>
      </c>
      <c r="L40" s="76"/>
      <c r="M40" s="76">
        <v>0</v>
      </c>
      <c r="N40" s="76">
        <v>0</v>
      </c>
    </row>
    <row r="42" spans="1:14" s="116" customFormat="1" ht="18.75" customHeight="1">
      <c r="A42" s="350" t="s">
        <v>345</v>
      </c>
      <c r="B42" s="350" t="s">
        <v>402</v>
      </c>
      <c r="C42" s="350"/>
      <c r="D42" s="350"/>
      <c r="E42" s="350"/>
      <c r="F42" s="350"/>
      <c r="G42" s="350"/>
      <c r="H42" s="350"/>
      <c r="I42" s="350"/>
      <c r="J42" s="350"/>
      <c r="K42" s="350"/>
      <c r="L42" s="350"/>
      <c r="M42" s="350"/>
      <c r="N42" s="350"/>
    </row>
    <row r="43" spans="1:14" s="116" customFormat="1" ht="28.5" customHeight="1">
      <c r="A43" s="350"/>
      <c r="B43" s="350" t="s">
        <v>451</v>
      </c>
      <c r="C43" s="350"/>
      <c r="D43" s="350"/>
      <c r="E43" s="350" t="s">
        <v>450</v>
      </c>
      <c r="F43" s="350"/>
      <c r="G43" s="350"/>
      <c r="H43" s="350"/>
      <c r="I43" s="350"/>
      <c r="J43" s="350"/>
      <c r="K43" s="350"/>
      <c r="L43" s="350"/>
      <c r="M43" s="350" t="s">
        <v>449</v>
      </c>
      <c r="N43" s="350"/>
    </row>
    <row r="44" spans="1:14" s="116" customFormat="1" ht="20.25" customHeight="1">
      <c r="A44" s="350"/>
      <c r="B44" s="350" t="s">
        <v>448</v>
      </c>
      <c r="C44" s="350" t="s">
        <v>447</v>
      </c>
      <c r="D44" s="350" t="s">
        <v>2</v>
      </c>
      <c r="E44" s="350" t="s">
        <v>446</v>
      </c>
      <c r="F44" s="350"/>
      <c r="G44" s="350"/>
      <c r="H44" s="350" t="s">
        <v>445</v>
      </c>
      <c r="I44" s="350" t="s">
        <v>444</v>
      </c>
      <c r="J44" s="350" t="s">
        <v>443</v>
      </c>
      <c r="K44" s="350" t="s">
        <v>442</v>
      </c>
      <c r="L44" s="350" t="s">
        <v>441</v>
      </c>
      <c r="M44" s="350" t="s">
        <v>440</v>
      </c>
      <c r="N44" s="350" t="s">
        <v>439</v>
      </c>
    </row>
    <row r="45" spans="1:14" s="116" customFormat="1" ht="20.25" customHeight="1">
      <c r="A45" s="350"/>
      <c r="B45" s="350"/>
      <c r="C45" s="350"/>
      <c r="D45" s="350"/>
      <c r="E45" s="350" t="s">
        <v>438</v>
      </c>
      <c r="F45" s="350"/>
      <c r="G45" s="350" t="s">
        <v>437</v>
      </c>
      <c r="H45" s="350"/>
      <c r="I45" s="350"/>
      <c r="J45" s="350"/>
      <c r="K45" s="350"/>
      <c r="L45" s="350"/>
      <c r="M45" s="350"/>
      <c r="N45" s="350"/>
    </row>
    <row r="46" spans="1:14" s="116" customFormat="1" ht="24">
      <c r="A46" s="350"/>
      <c r="B46" s="350"/>
      <c r="C46" s="350"/>
      <c r="D46" s="350"/>
      <c r="E46" s="259" t="s">
        <v>436</v>
      </c>
      <c r="F46" s="259" t="s">
        <v>435</v>
      </c>
      <c r="G46" s="350"/>
      <c r="H46" s="350"/>
      <c r="I46" s="350"/>
      <c r="J46" s="350"/>
      <c r="K46" s="350"/>
      <c r="L46" s="350"/>
      <c r="M46" s="350"/>
      <c r="N46" s="350"/>
    </row>
    <row r="47" spans="1:14" ht="12.75">
      <c r="A47" s="76" t="s">
        <v>36</v>
      </c>
      <c r="B47" s="76">
        <v>122.94000000000003</v>
      </c>
      <c r="C47" s="115">
        <v>44.09</v>
      </c>
      <c r="D47" s="115">
        <v>167.03000000000003</v>
      </c>
      <c r="E47" s="76">
        <v>0</v>
      </c>
      <c r="F47" s="114">
        <v>32.81</v>
      </c>
      <c r="G47" s="114">
        <v>89.36000000000001</v>
      </c>
      <c r="H47" s="76">
        <v>0</v>
      </c>
      <c r="I47" s="114">
        <v>3.02</v>
      </c>
      <c r="J47" s="76">
        <v>78.18</v>
      </c>
      <c r="K47" s="114"/>
      <c r="L47" s="76">
        <v>10.11</v>
      </c>
      <c r="M47" s="76">
        <v>0</v>
      </c>
      <c r="N47" s="76">
        <v>0</v>
      </c>
    </row>
    <row r="48" spans="1:14" ht="12.75">
      <c r="A48" s="76" t="s">
        <v>35</v>
      </c>
      <c r="B48" s="76">
        <v>172.25000000000003</v>
      </c>
      <c r="C48" s="115">
        <v>43.81</v>
      </c>
      <c r="D48" s="115">
        <v>216.06000000000003</v>
      </c>
      <c r="E48" s="76">
        <v>0</v>
      </c>
      <c r="F48" s="114">
        <v>7.09</v>
      </c>
      <c r="G48" s="114">
        <v>113.53999999999999</v>
      </c>
      <c r="H48" s="76">
        <v>0</v>
      </c>
      <c r="I48" s="114">
        <v>3.29</v>
      </c>
      <c r="J48" s="76">
        <v>93.06</v>
      </c>
      <c r="K48" s="114"/>
      <c r="L48" s="76">
        <v>1.87</v>
      </c>
      <c r="M48" s="76">
        <v>0</v>
      </c>
      <c r="N48" s="76">
        <v>0</v>
      </c>
    </row>
    <row r="49" spans="1:14" ht="12.75">
      <c r="A49" s="76" t="s">
        <v>34</v>
      </c>
      <c r="B49" s="76">
        <v>233.24</v>
      </c>
      <c r="C49" s="115">
        <v>190.57</v>
      </c>
      <c r="D49" s="115">
        <v>423.81</v>
      </c>
      <c r="E49" s="76">
        <v>0</v>
      </c>
      <c r="F49" s="114">
        <v>27.95</v>
      </c>
      <c r="G49" s="114">
        <v>150.35999999999999</v>
      </c>
      <c r="H49" s="76">
        <v>0</v>
      </c>
      <c r="I49" s="114">
        <v>4.05</v>
      </c>
      <c r="J49" s="76">
        <v>106.66</v>
      </c>
      <c r="K49" s="114"/>
      <c r="L49" s="76">
        <v>2.29</v>
      </c>
      <c r="M49" s="76">
        <v>0</v>
      </c>
      <c r="N49" s="76">
        <v>0</v>
      </c>
    </row>
    <row r="50" spans="1:14" ht="12.75">
      <c r="A50" s="76" t="s">
        <v>33</v>
      </c>
      <c r="B50" s="114">
        <v>201.97000000000006</v>
      </c>
      <c r="C50" s="115">
        <v>52.31999999999999</v>
      </c>
      <c r="D50" s="115">
        <v>254.29000000000005</v>
      </c>
      <c r="E50" s="76">
        <v>0</v>
      </c>
      <c r="F50" s="114">
        <v>19.11</v>
      </c>
      <c r="G50" s="114">
        <v>98.45</v>
      </c>
      <c r="H50" s="76">
        <v>0</v>
      </c>
      <c r="I50" s="114">
        <v>39.8</v>
      </c>
      <c r="J50" s="76">
        <v>37.09</v>
      </c>
      <c r="K50" s="114"/>
      <c r="L50" s="76">
        <v>199.82</v>
      </c>
      <c r="M50" s="76">
        <v>0</v>
      </c>
      <c r="N50" s="76">
        <v>0</v>
      </c>
    </row>
    <row r="51" spans="1:14" ht="12.75">
      <c r="A51" s="76" t="s">
        <v>32</v>
      </c>
      <c r="B51" s="76">
        <v>225.36999999999995</v>
      </c>
      <c r="C51" s="115">
        <v>99.29000000000002</v>
      </c>
      <c r="D51" s="115">
        <v>324.65999999999997</v>
      </c>
      <c r="E51" s="76">
        <v>0</v>
      </c>
      <c r="F51" s="114">
        <v>32.8</v>
      </c>
      <c r="G51" s="114">
        <v>149.89</v>
      </c>
      <c r="H51" s="76">
        <v>0</v>
      </c>
      <c r="I51" s="114">
        <v>127.45</v>
      </c>
      <c r="J51" s="76">
        <v>42.18</v>
      </c>
      <c r="K51" s="114">
        <v>32.07</v>
      </c>
      <c r="L51" s="76"/>
      <c r="M51" s="76">
        <v>0</v>
      </c>
      <c r="N51" s="76">
        <v>0</v>
      </c>
    </row>
    <row r="52" spans="1:14" ht="12.75">
      <c r="A52" s="76" t="s">
        <v>31</v>
      </c>
      <c r="B52" s="114">
        <v>297.24000000000007</v>
      </c>
      <c r="C52" s="115">
        <v>87.93</v>
      </c>
      <c r="D52" s="115">
        <v>459.14000000000004</v>
      </c>
      <c r="E52" s="76">
        <v>0</v>
      </c>
      <c r="F52" s="114">
        <v>33.86</v>
      </c>
      <c r="G52" s="114">
        <v>142.73</v>
      </c>
      <c r="H52" s="76">
        <v>0</v>
      </c>
      <c r="I52" s="114">
        <v>118.73</v>
      </c>
      <c r="J52" s="76">
        <v>48.82</v>
      </c>
      <c r="K52" s="114">
        <v>31.6</v>
      </c>
      <c r="L52" s="76"/>
      <c r="M52" s="76">
        <v>0</v>
      </c>
      <c r="N52" s="76">
        <v>0</v>
      </c>
    </row>
    <row r="53" spans="1:14" ht="12.75">
      <c r="A53" s="76" t="s">
        <v>30</v>
      </c>
      <c r="B53" s="114">
        <v>319.31000000000006</v>
      </c>
      <c r="C53" s="115">
        <v>100.71999999999997</v>
      </c>
      <c r="D53" s="115">
        <v>509.84000000000003</v>
      </c>
      <c r="E53" s="76">
        <v>0</v>
      </c>
      <c r="F53" s="114">
        <v>37.25</v>
      </c>
      <c r="G53" s="114">
        <v>157.24</v>
      </c>
      <c r="H53" s="76">
        <v>0</v>
      </c>
      <c r="I53" s="114">
        <v>189.1</v>
      </c>
      <c r="J53" s="76">
        <v>48.31</v>
      </c>
      <c r="K53" s="114">
        <v>30.67</v>
      </c>
      <c r="L53" s="76"/>
      <c r="M53" s="76">
        <v>0</v>
      </c>
      <c r="N53" s="76">
        <v>0</v>
      </c>
    </row>
    <row r="54" spans="1:14" ht="12.75">
      <c r="A54" s="76" t="s">
        <v>29</v>
      </c>
      <c r="B54" s="114">
        <v>351.2410000000001</v>
      </c>
      <c r="C54" s="115">
        <v>110.79199999999997</v>
      </c>
      <c r="D54" s="115">
        <v>560.824</v>
      </c>
      <c r="E54" s="76">
        <v>0</v>
      </c>
      <c r="F54" s="114">
        <v>40.975</v>
      </c>
      <c r="G54" s="114">
        <v>172.964</v>
      </c>
      <c r="H54" s="76">
        <v>0</v>
      </c>
      <c r="I54" s="114">
        <v>253.78</v>
      </c>
      <c r="J54" s="76">
        <v>74.15</v>
      </c>
      <c r="K54" s="114">
        <v>29.15</v>
      </c>
      <c r="L54" s="76"/>
      <c r="M54" s="76">
        <v>0</v>
      </c>
      <c r="N54" s="76">
        <v>0</v>
      </c>
    </row>
    <row r="55" spans="1:14" ht="12.75">
      <c r="A55" s="76" t="s">
        <v>28</v>
      </c>
      <c r="B55" s="114">
        <v>386.3651</v>
      </c>
      <c r="C55" s="115">
        <v>121.87120000000004</v>
      </c>
      <c r="D55" s="115">
        <v>616.9064000000001</v>
      </c>
      <c r="E55" s="76">
        <v>0</v>
      </c>
      <c r="F55" s="114">
        <v>45.072500000000005</v>
      </c>
      <c r="G55" s="114">
        <v>190.2604</v>
      </c>
      <c r="H55" s="76">
        <v>0</v>
      </c>
      <c r="I55" s="114"/>
      <c r="J55" s="76">
        <v>120.16</v>
      </c>
      <c r="K55" s="114">
        <v>22.5</v>
      </c>
      <c r="L55" s="76"/>
      <c r="M55" s="76">
        <v>0</v>
      </c>
      <c r="N55" s="76">
        <v>0</v>
      </c>
    </row>
    <row r="56" spans="1:14" ht="12.75">
      <c r="A56" s="76" t="s">
        <v>27</v>
      </c>
      <c r="B56" s="114">
        <v>425.0016100000001</v>
      </c>
      <c r="C56" s="115">
        <v>134.05832000000004</v>
      </c>
      <c r="D56" s="115">
        <v>678.5970400000002</v>
      </c>
      <c r="E56" s="76">
        <v>0</v>
      </c>
      <c r="F56" s="114">
        <v>49.57975000000001</v>
      </c>
      <c r="G56" s="114">
        <v>209.28644000000003</v>
      </c>
      <c r="H56" s="76">
        <v>0</v>
      </c>
      <c r="I56" s="114"/>
      <c r="J56" s="76">
        <v>131.44</v>
      </c>
      <c r="K56" s="114">
        <v>24.61</v>
      </c>
      <c r="L56" s="76"/>
      <c r="M56" s="76">
        <v>0</v>
      </c>
      <c r="N56" s="76">
        <v>0</v>
      </c>
    </row>
    <row r="57" spans="1:14" ht="12.75">
      <c r="A57" s="76" t="s">
        <v>457</v>
      </c>
      <c r="B57" s="114">
        <v>467.5017710000001</v>
      </c>
      <c r="C57" s="115">
        <v>147.464152</v>
      </c>
      <c r="D57" s="115">
        <v>746.4567440000003</v>
      </c>
      <c r="E57" s="76">
        <v>0</v>
      </c>
      <c r="F57" s="114">
        <v>54.537725000000016</v>
      </c>
      <c r="G57" s="114">
        <v>230.21508400000002</v>
      </c>
      <c r="H57" s="76">
        <v>0</v>
      </c>
      <c r="I57" s="114"/>
      <c r="J57" s="76">
        <v>144.07</v>
      </c>
      <c r="K57" s="114">
        <v>26.98</v>
      </c>
      <c r="L57" s="76"/>
      <c r="M57" s="76">
        <v>0</v>
      </c>
      <c r="N57" s="76">
        <v>0</v>
      </c>
    </row>
    <row r="58" spans="1:14" ht="12.75">
      <c r="A58" s="76" t="s">
        <v>25</v>
      </c>
      <c r="B58" s="114">
        <v>514.2519480999999</v>
      </c>
      <c r="C58" s="115">
        <v>162.21056720000013</v>
      </c>
      <c r="D58" s="115">
        <v>821.1024184000001</v>
      </c>
      <c r="E58" s="76">
        <v>0</v>
      </c>
      <c r="F58" s="114">
        <v>59.99149750000002</v>
      </c>
      <c r="G58" s="114">
        <v>253.23659240000003</v>
      </c>
      <c r="H58" s="76">
        <v>0</v>
      </c>
      <c r="I58" s="114"/>
      <c r="J58" s="76">
        <v>158.21</v>
      </c>
      <c r="K58" s="114">
        <v>29.63</v>
      </c>
      <c r="L58" s="76"/>
      <c r="M58" s="76">
        <v>0</v>
      </c>
      <c r="N58" s="76">
        <v>0</v>
      </c>
    </row>
    <row r="59" spans="1:14" ht="12.75">
      <c r="A59" s="76" t="s">
        <v>24</v>
      </c>
      <c r="B59" s="114">
        <v>565.67714291</v>
      </c>
      <c r="C59" s="115">
        <v>178.4316239200001</v>
      </c>
      <c r="D59" s="115">
        <v>903.2126602400004</v>
      </c>
      <c r="E59" s="76">
        <v>0</v>
      </c>
      <c r="F59" s="114">
        <v>65.99064725000002</v>
      </c>
      <c r="G59" s="114">
        <v>278.56025164000005</v>
      </c>
      <c r="H59" s="76">
        <v>0</v>
      </c>
      <c r="I59" s="114"/>
      <c r="J59" s="76">
        <v>174.08</v>
      </c>
      <c r="K59" s="114">
        <v>32.6</v>
      </c>
      <c r="L59" s="76"/>
      <c r="M59" s="76">
        <v>0</v>
      </c>
      <c r="N59" s="76">
        <v>0</v>
      </c>
    </row>
    <row r="60" ht="12.75">
      <c r="A60" s="71" t="s">
        <v>434</v>
      </c>
    </row>
  </sheetData>
  <sheetProtection/>
  <mergeCells count="58">
    <mergeCell ref="A1:N1"/>
    <mergeCell ref="A2:L2"/>
    <mergeCell ref="M2:N2"/>
    <mergeCell ref="A3:N3"/>
    <mergeCell ref="A4:A8"/>
    <mergeCell ref="L6:L8"/>
    <mergeCell ref="H6:H8"/>
    <mergeCell ref="E6:G6"/>
    <mergeCell ref="I6:I8"/>
    <mergeCell ref="B5:D5"/>
    <mergeCell ref="E25:G25"/>
    <mergeCell ref="H25:H27"/>
    <mergeCell ref="J25:J27"/>
    <mergeCell ref="C6:C8"/>
    <mergeCell ref="D6:D8"/>
    <mergeCell ref="K6:K8"/>
    <mergeCell ref="E5:L5"/>
    <mergeCell ref="M5:N5"/>
    <mergeCell ref="M6:M8"/>
    <mergeCell ref="N6:N8"/>
    <mergeCell ref="E7:F7"/>
    <mergeCell ref="G7:G8"/>
    <mergeCell ref="B4:N4"/>
    <mergeCell ref="J6:J8"/>
    <mergeCell ref="B6:B8"/>
    <mergeCell ref="A23:A27"/>
    <mergeCell ref="A42:A46"/>
    <mergeCell ref="C25:C27"/>
    <mergeCell ref="B24:D24"/>
    <mergeCell ref="B25:B27"/>
    <mergeCell ref="D25:D27"/>
    <mergeCell ref="B42:N42"/>
    <mergeCell ref="M24:N24"/>
    <mergeCell ref="M25:M27"/>
    <mergeCell ref="B23:N23"/>
    <mergeCell ref="E24:L24"/>
    <mergeCell ref="I25:I27"/>
    <mergeCell ref="K25:K27"/>
    <mergeCell ref="N25:N27"/>
    <mergeCell ref="E26:F26"/>
    <mergeCell ref="G26:G27"/>
    <mergeCell ref="L25:L27"/>
    <mergeCell ref="M43:N43"/>
    <mergeCell ref="B44:B46"/>
    <mergeCell ref="D44:D46"/>
    <mergeCell ref="E44:G44"/>
    <mergeCell ref="N44:N46"/>
    <mergeCell ref="C44:C46"/>
    <mergeCell ref="H44:H46"/>
    <mergeCell ref="M44:M46"/>
    <mergeCell ref="E45:F45"/>
    <mergeCell ref="B43:D43"/>
    <mergeCell ref="G45:G46"/>
    <mergeCell ref="K44:K46"/>
    <mergeCell ref="L44:L46"/>
    <mergeCell ref="I44:I46"/>
    <mergeCell ref="J44:J46"/>
    <mergeCell ref="E43:L43"/>
  </mergeCells>
  <printOptions horizontalCentered="1"/>
  <pageMargins left="0.236220472440945" right="0.31496062992126" top="0.31496062992126" bottom="0.15748031496063" header="0.15748031496063" footer="0.15748031496063"/>
  <pageSetup firstPageNumber="117" useFirstPageNumber="1" horizontalDpi="600" verticalDpi="600" orientation="landscape" paperSize="9" scale="75" r:id="rId1"/>
  <headerFooter>
    <oddFooter>&amp;C&amp;P</oddFooter>
  </headerFooter>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9">
      <selection activeCell="C14" sqref="C14"/>
    </sheetView>
  </sheetViews>
  <sheetFormatPr defaultColWidth="9.140625" defaultRowHeight="15"/>
  <cols>
    <col min="1" max="1" width="5.00390625" style="3" customWidth="1"/>
    <col min="2" max="2" width="25.7109375" style="1" customWidth="1"/>
    <col min="3" max="3" width="12.8515625" style="1" customWidth="1"/>
    <col min="4" max="4" width="13.57421875" style="1" customWidth="1"/>
    <col min="5" max="5" width="8.7109375" style="1" customWidth="1"/>
    <col min="6" max="6" width="7.8515625" style="1" customWidth="1"/>
    <col min="7" max="7" width="8.7109375" style="1" customWidth="1"/>
    <col min="8" max="8" width="9.421875" style="1" customWidth="1"/>
    <col min="9" max="16384" width="9.140625" style="1" customWidth="1"/>
  </cols>
  <sheetData>
    <row r="1" spans="1:8" ht="15.75" customHeight="1">
      <c r="A1" s="12">
        <v>5</v>
      </c>
      <c r="B1" s="288" t="s">
        <v>39</v>
      </c>
      <c r="C1" s="288"/>
      <c r="D1" s="288"/>
      <c r="E1" s="288"/>
      <c r="F1" s="288"/>
      <c r="G1" s="288"/>
      <c r="H1" s="288"/>
    </row>
    <row r="2" spans="1:15" s="10" customFormat="1" ht="12.75">
      <c r="A2" s="8" t="s">
        <v>38</v>
      </c>
      <c r="B2" s="7" t="s">
        <v>37</v>
      </c>
      <c r="C2" s="8" t="s">
        <v>36</v>
      </c>
      <c r="D2" s="8" t="s">
        <v>35</v>
      </c>
      <c r="E2" s="8" t="s">
        <v>34</v>
      </c>
      <c r="F2" s="8" t="s">
        <v>33</v>
      </c>
      <c r="G2" s="8" t="s">
        <v>32</v>
      </c>
      <c r="H2" s="8" t="s">
        <v>31</v>
      </c>
      <c r="I2" s="8" t="s">
        <v>30</v>
      </c>
      <c r="J2" s="8" t="s">
        <v>29</v>
      </c>
      <c r="K2" s="8" t="s">
        <v>28</v>
      </c>
      <c r="L2" s="8" t="s">
        <v>27</v>
      </c>
      <c r="M2" s="8" t="s">
        <v>26</v>
      </c>
      <c r="N2" s="8" t="s">
        <v>25</v>
      </c>
      <c r="O2" s="8" t="s">
        <v>24</v>
      </c>
    </row>
    <row r="3" spans="1:15" s="10" customFormat="1" ht="12.75">
      <c r="A3" s="8" t="s">
        <v>23</v>
      </c>
      <c r="B3" s="7" t="s">
        <v>22</v>
      </c>
      <c r="C3" s="2"/>
      <c r="D3" s="2"/>
      <c r="E3" s="2"/>
      <c r="F3" s="2"/>
      <c r="G3" s="2"/>
      <c r="H3" s="2"/>
      <c r="I3" s="2"/>
      <c r="J3" s="2"/>
      <c r="K3" s="2"/>
      <c r="L3" s="2"/>
      <c r="M3" s="2"/>
      <c r="N3" s="2"/>
      <c r="O3" s="2"/>
    </row>
    <row r="4" spans="1:15" ht="12.75">
      <c r="A4" s="6" t="s">
        <v>16</v>
      </c>
      <c r="B4" s="5" t="s">
        <v>15</v>
      </c>
      <c r="C4" s="2"/>
      <c r="D4" s="2"/>
      <c r="E4" s="2"/>
      <c r="F4" s="2"/>
      <c r="G4" s="2"/>
      <c r="H4" s="2"/>
      <c r="I4" s="2"/>
      <c r="J4" s="2"/>
      <c r="K4" s="2"/>
      <c r="L4" s="2"/>
      <c r="M4" s="2"/>
      <c r="N4" s="2"/>
      <c r="O4" s="2"/>
    </row>
    <row r="5" spans="1:15" ht="12.75">
      <c r="A5" s="4" t="s">
        <v>10</v>
      </c>
      <c r="B5" s="2" t="s">
        <v>21</v>
      </c>
      <c r="C5" s="9">
        <v>162.44</v>
      </c>
      <c r="D5" s="9">
        <v>195.22</v>
      </c>
      <c r="E5" s="9">
        <v>221.63</v>
      </c>
      <c r="F5" s="9">
        <v>145.2</v>
      </c>
      <c r="G5" s="9">
        <v>165.17</v>
      </c>
      <c r="H5" s="9">
        <v>191.14</v>
      </c>
      <c r="I5" s="9">
        <v>210.254</v>
      </c>
      <c r="J5" s="9">
        <v>231.2794</v>
      </c>
      <c r="K5" s="9">
        <v>254.40734000000003</v>
      </c>
      <c r="L5" s="9">
        <v>279.84807400000005</v>
      </c>
      <c r="M5" s="9">
        <v>307.8328814000001</v>
      </c>
      <c r="N5" s="9">
        <v>338.6161695400001</v>
      </c>
      <c r="O5" s="9">
        <v>372.47778649400016</v>
      </c>
    </row>
    <row r="6" spans="1:15" ht="12.75">
      <c r="A6" s="4" t="s">
        <v>8</v>
      </c>
      <c r="B6" s="2" t="s">
        <v>20</v>
      </c>
      <c r="C6" s="9">
        <v>34.46</v>
      </c>
      <c r="D6" s="9">
        <v>41.42</v>
      </c>
      <c r="E6" s="9">
        <v>47.03</v>
      </c>
      <c r="F6" s="9">
        <v>40.89</v>
      </c>
      <c r="G6" s="9">
        <v>46.52</v>
      </c>
      <c r="H6" s="9">
        <v>53.82</v>
      </c>
      <c r="I6" s="9">
        <v>59.202000000000005</v>
      </c>
      <c r="J6" s="9">
        <v>65.1222</v>
      </c>
      <c r="K6" s="9">
        <v>71.63442000000002</v>
      </c>
      <c r="L6" s="9">
        <v>78.79786200000002</v>
      </c>
      <c r="M6" s="9">
        <v>86.67764820000004</v>
      </c>
      <c r="N6" s="9">
        <v>95.34541302000005</v>
      </c>
      <c r="O6" s="9">
        <v>104.87995432200006</v>
      </c>
    </row>
    <row r="7" spans="1:15" ht="12.75">
      <c r="A7" s="4" t="s">
        <v>6</v>
      </c>
      <c r="B7" s="2" t="s">
        <v>19</v>
      </c>
      <c r="C7" s="9">
        <v>78.18</v>
      </c>
      <c r="D7" s="9">
        <v>93.96</v>
      </c>
      <c r="E7" s="9">
        <v>106.66</v>
      </c>
      <c r="F7" s="9">
        <v>37.09</v>
      </c>
      <c r="G7" s="9">
        <v>42.18</v>
      </c>
      <c r="H7" s="9">
        <v>48.82</v>
      </c>
      <c r="I7" s="9">
        <v>53.702000000000005</v>
      </c>
      <c r="J7" s="9">
        <v>59.07220000000001</v>
      </c>
      <c r="K7" s="9">
        <v>64.97942000000002</v>
      </c>
      <c r="L7" s="9">
        <v>71.47736200000003</v>
      </c>
      <c r="M7" s="9">
        <v>78.62509820000004</v>
      </c>
      <c r="N7" s="9">
        <v>86.48760802000005</v>
      </c>
      <c r="O7" s="9">
        <v>95.13636882200007</v>
      </c>
    </row>
    <row r="8" spans="1:15" ht="12.75">
      <c r="A8" s="4"/>
      <c r="B8" s="2" t="s">
        <v>2</v>
      </c>
      <c r="C8" s="9"/>
      <c r="D8" s="9"/>
      <c r="E8" s="9"/>
      <c r="F8" s="9"/>
      <c r="G8" s="9"/>
      <c r="H8" s="9"/>
      <c r="I8" s="9"/>
      <c r="J8" s="9"/>
      <c r="K8" s="9"/>
      <c r="L8" s="9"/>
      <c r="M8" s="9"/>
      <c r="N8" s="9"/>
      <c r="O8" s="9"/>
    </row>
    <row r="9" spans="1:15" ht="12.75">
      <c r="A9" s="6" t="s">
        <v>14</v>
      </c>
      <c r="B9" s="5" t="s">
        <v>13</v>
      </c>
      <c r="C9" s="9"/>
      <c r="D9" s="9"/>
      <c r="E9" s="9"/>
      <c r="F9" s="9"/>
      <c r="G9" s="9"/>
      <c r="H9" s="9"/>
      <c r="I9" s="9"/>
      <c r="J9" s="9"/>
      <c r="K9" s="9"/>
      <c r="L9" s="9"/>
      <c r="M9" s="9"/>
      <c r="N9" s="9"/>
      <c r="O9" s="9"/>
    </row>
    <row r="10" spans="1:15" ht="12.75">
      <c r="A10" s="4" t="s">
        <v>10</v>
      </c>
      <c r="B10" s="2" t="s">
        <v>21</v>
      </c>
      <c r="C10" s="9">
        <v>0</v>
      </c>
      <c r="D10" s="9">
        <v>0</v>
      </c>
      <c r="E10" s="9">
        <v>0</v>
      </c>
      <c r="F10" s="9">
        <v>0</v>
      </c>
      <c r="G10" s="9">
        <v>129.44</v>
      </c>
      <c r="H10" s="9">
        <v>127.56</v>
      </c>
      <c r="I10" s="9">
        <v>140.316</v>
      </c>
      <c r="J10" s="9">
        <v>154.34760000000003</v>
      </c>
      <c r="K10" s="9">
        <v>169.78236000000004</v>
      </c>
      <c r="L10" s="9">
        <v>186.76059600000005</v>
      </c>
      <c r="M10" s="9">
        <v>205.43665560000008</v>
      </c>
      <c r="N10" s="9">
        <v>225.9803211600001</v>
      </c>
      <c r="O10" s="9">
        <v>248.57835327600014</v>
      </c>
    </row>
    <row r="11" spans="1:15" ht="12.75">
      <c r="A11" s="4" t="s">
        <v>8</v>
      </c>
      <c r="B11" s="2" t="s">
        <v>20</v>
      </c>
      <c r="C11" s="9">
        <v>0</v>
      </c>
      <c r="D11" s="9">
        <v>0</v>
      </c>
      <c r="E11" s="9">
        <v>0</v>
      </c>
      <c r="F11" s="9">
        <v>0</v>
      </c>
      <c r="G11" s="9">
        <v>25.76</v>
      </c>
      <c r="H11" s="9">
        <v>33.42</v>
      </c>
      <c r="I11" s="9">
        <v>36.76200000000001</v>
      </c>
      <c r="J11" s="9">
        <v>40.43820000000001</v>
      </c>
      <c r="K11" s="9">
        <v>44.48202000000001</v>
      </c>
      <c r="L11" s="9">
        <v>48.930222000000015</v>
      </c>
      <c r="M11" s="9">
        <v>53.82324420000002</v>
      </c>
      <c r="N11" s="9">
        <v>59.20556862000002</v>
      </c>
      <c r="O11" s="9">
        <v>65.12612548200003</v>
      </c>
    </row>
    <row r="12" spans="1:15" ht="12.75">
      <c r="A12" s="4" t="s">
        <v>6</v>
      </c>
      <c r="B12" s="2" t="s">
        <v>19</v>
      </c>
      <c r="C12" s="9">
        <v>0</v>
      </c>
      <c r="D12" s="9">
        <v>0</v>
      </c>
      <c r="E12" s="9">
        <v>0</v>
      </c>
      <c r="F12" s="9">
        <v>0</v>
      </c>
      <c r="G12" s="9">
        <v>32.07</v>
      </c>
      <c r="H12" s="9">
        <v>31.6</v>
      </c>
      <c r="I12" s="9">
        <v>34.760000000000005</v>
      </c>
      <c r="J12" s="9">
        <v>38.23600000000001</v>
      </c>
      <c r="K12" s="9">
        <v>42.05960000000002</v>
      </c>
      <c r="L12" s="9">
        <v>46.26556000000002</v>
      </c>
      <c r="M12" s="9">
        <v>50.89211600000003</v>
      </c>
      <c r="N12" s="9">
        <v>55.981327600000036</v>
      </c>
      <c r="O12" s="9">
        <v>61.57946036000004</v>
      </c>
    </row>
    <row r="13" spans="1:15" ht="12.75">
      <c r="A13" s="4"/>
      <c r="B13" s="2" t="s">
        <v>2</v>
      </c>
      <c r="C13" s="9"/>
      <c r="D13" s="9"/>
      <c r="E13" s="9"/>
      <c r="F13" s="9"/>
      <c r="G13" s="9"/>
      <c r="H13" s="9"/>
      <c r="I13" s="9"/>
      <c r="J13" s="9"/>
      <c r="K13" s="9"/>
      <c r="L13" s="9"/>
      <c r="M13" s="9"/>
      <c r="N13" s="9"/>
      <c r="O13" s="9"/>
    </row>
    <row r="14" spans="1:15" ht="12.75">
      <c r="A14" s="6" t="s">
        <v>12</v>
      </c>
      <c r="B14" s="5" t="s">
        <v>11</v>
      </c>
      <c r="C14" s="9"/>
      <c r="D14" s="9"/>
      <c r="E14" s="9"/>
      <c r="F14" s="9"/>
      <c r="G14" s="9"/>
      <c r="H14" s="9"/>
      <c r="I14" s="9"/>
      <c r="J14" s="9"/>
      <c r="K14" s="9"/>
      <c r="L14" s="9"/>
      <c r="M14" s="9"/>
      <c r="N14" s="9"/>
      <c r="O14" s="9"/>
    </row>
    <row r="15" spans="1:15" ht="12.75">
      <c r="A15" s="4" t="s">
        <v>10</v>
      </c>
      <c r="B15" s="2" t="s">
        <v>21</v>
      </c>
      <c r="C15" s="9">
        <v>27.25</v>
      </c>
      <c r="D15" s="9">
        <v>10.69</v>
      </c>
      <c r="E15" s="9">
        <v>13.16</v>
      </c>
      <c r="F15" s="9">
        <v>374.52</v>
      </c>
      <c r="G15" s="9">
        <v>499.02</v>
      </c>
      <c r="H15" s="9">
        <v>642.15</v>
      </c>
      <c r="I15" s="9">
        <v>706.365</v>
      </c>
      <c r="J15" s="9">
        <v>777.0015000000001</v>
      </c>
      <c r="K15" s="9">
        <v>854.7016500000002</v>
      </c>
      <c r="L15" s="9">
        <v>940.1718150000003</v>
      </c>
      <c r="M15" s="9">
        <v>1034.1889965000005</v>
      </c>
      <c r="N15" s="9">
        <v>1137.6078961500007</v>
      </c>
      <c r="O15" s="9">
        <v>1251.368685765001</v>
      </c>
    </row>
    <row r="16" spans="1:15" ht="12.75">
      <c r="A16" s="4" t="s">
        <v>8</v>
      </c>
      <c r="B16" s="2" t="s">
        <v>20</v>
      </c>
      <c r="C16" s="9">
        <v>5.79</v>
      </c>
      <c r="D16" s="9">
        <v>2.27</v>
      </c>
      <c r="E16" s="9">
        <v>2.8</v>
      </c>
      <c r="F16" s="9">
        <v>261.8</v>
      </c>
      <c r="G16" s="9">
        <v>140.53</v>
      </c>
      <c r="H16" s="9">
        <v>180.84</v>
      </c>
      <c r="I16" s="9">
        <v>198.924</v>
      </c>
      <c r="J16" s="9">
        <v>218.81640000000002</v>
      </c>
      <c r="K16" s="9">
        <v>240.69804000000005</v>
      </c>
      <c r="L16" s="9">
        <v>264.7678440000001</v>
      </c>
      <c r="M16" s="9">
        <v>291.2446284000001</v>
      </c>
      <c r="N16" s="9">
        <v>320.36909124000016</v>
      </c>
      <c r="O16" s="9">
        <v>352.4060003640002</v>
      </c>
    </row>
    <row r="17" spans="1:15" ht="12.75">
      <c r="A17" s="4" t="s">
        <v>6</v>
      </c>
      <c r="B17" s="2" t="s">
        <v>19</v>
      </c>
      <c r="C17" s="9">
        <v>13.13</v>
      </c>
      <c r="D17" s="9">
        <v>5.16</v>
      </c>
      <c r="E17" s="9">
        <v>6.34</v>
      </c>
      <c r="F17" s="9">
        <v>239.62</v>
      </c>
      <c r="G17" s="9">
        <v>127.45</v>
      </c>
      <c r="H17" s="9">
        <v>154.01</v>
      </c>
      <c r="I17" s="9">
        <v>169.411</v>
      </c>
      <c r="J17" s="9">
        <v>186.3521</v>
      </c>
      <c r="K17" s="9">
        <v>204.98731000000004</v>
      </c>
      <c r="L17" s="9">
        <v>225.48604100000006</v>
      </c>
      <c r="M17" s="9">
        <v>248.0346451000001</v>
      </c>
      <c r="N17" s="9">
        <v>272.8381096100001</v>
      </c>
      <c r="O17" s="9">
        <v>300.12192057100015</v>
      </c>
    </row>
    <row r="18" spans="1:15" ht="12.75">
      <c r="A18" s="4"/>
      <c r="B18" s="2" t="s">
        <v>2</v>
      </c>
      <c r="C18" s="2"/>
      <c r="D18" s="2"/>
      <c r="E18" s="2"/>
      <c r="F18" s="2"/>
      <c r="G18" s="2"/>
      <c r="H18" s="2"/>
      <c r="I18" s="2"/>
      <c r="J18" s="2"/>
      <c r="K18" s="2"/>
      <c r="L18" s="2"/>
      <c r="M18" s="2"/>
      <c r="N18" s="2"/>
      <c r="O18" s="2"/>
    </row>
    <row r="19" spans="1:15" ht="12.75">
      <c r="A19" s="8" t="s">
        <v>18</v>
      </c>
      <c r="B19" s="7" t="s">
        <v>17</v>
      </c>
      <c r="C19" s="2"/>
      <c r="D19" s="2"/>
      <c r="E19" s="2"/>
      <c r="F19" s="2"/>
      <c r="G19" s="2"/>
      <c r="H19" s="2"/>
      <c r="I19" s="2"/>
      <c r="J19" s="2"/>
      <c r="K19" s="2"/>
      <c r="L19" s="2"/>
      <c r="M19" s="2"/>
      <c r="N19" s="2"/>
      <c r="O19" s="2"/>
    </row>
    <row r="20" spans="1:15" ht="12.75">
      <c r="A20" s="6" t="s">
        <v>16</v>
      </c>
      <c r="B20" s="5" t="s">
        <v>15</v>
      </c>
      <c r="C20" s="2"/>
      <c r="D20" s="2"/>
      <c r="E20" s="2"/>
      <c r="F20" s="2"/>
      <c r="G20" s="2"/>
      <c r="H20" s="2"/>
      <c r="I20" s="2"/>
      <c r="J20" s="2"/>
      <c r="K20" s="2"/>
      <c r="L20" s="2"/>
      <c r="M20" s="2"/>
      <c r="N20" s="2"/>
      <c r="O20" s="2"/>
    </row>
    <row r="21" spans="1:15" ht="12.75">
      <c r="A21" s="4" t="s">
        <v>10</v>
      </c>
      <c r="B21" s="2" t="s">
        <v>9</v>
      </c>
      <c r="C21" s="2"/>
      <c r="D21" s="2"/>
      <c r="E21" s="2"/>
      <c r="F21" s="2"/>
      <c r="G21" s="2"/>
      <c r="H21" s="2"/>
      <c r="I21" s="2"/>
      <c r="J21" s="2"/>
      <c r="K21" s="2"/>
      <c r="L21" s="2"/>
      <c r="M21" s="2"/>
      <c r="N21" s="2"/>
      <c r="O21" s="2"/>
    </row>
    <row r="22" spans="1:15" ht="12.75">
      <c r="A22" s="4" t="s">
        <v>8</v>
      </c>
      <c r="B22" s="2" t="s">
        <v>7</v>
      </c>
      <c r="C22" s="2"/>
      <c r="D22" s="2"/>
      <c r="E22" s="2"/>
      <c r="F22" s="2"/>
      <c r="G22" s="2"/>
      <c r="H22" s="2"/>
      <c r="I22" s="2"/>
      <c r="J22" s="2"/>
      <c r="K22" s="2"/>
      <c r="L22" s="2"/>
      <c r="M22" s="2"/>
      <c r="N22" s="2"/>
      <c r="O22" s="2"/>
    </row>
    <row r="23" spans="1:15" ht="12.75">
      <c r="A23" s="4" t="s">
        <v>6</v>
      </c>
      <c r="B23" s="2" t="s">
        <v>5</v>
      </c>
      <c r="C23" s="2"/>
      <c r="D23" s="2"/>
      <c r="E23" s="2"/>
      <c r="F23" s="2"/>
      <c r="G23" s="2"/>
      <c r="H23" s="2"/>
      <c r="I23" s="2"/>
      <c r="J23" s="2"/>
      <c r="K23" s="2"/>
      <c r="L23" s="2"/>
      <c r="M23" s="2"/>
      <c r="N23" s="2"/>
      <c r="O23" s="2"/>
    </row>
    <row r="24" spans="1:15" ht="12.75">
      <c r="A24" s="4" t="s">
        <v>4</v>
      </c>
      <c r="B24" s="2" t="s">
        <v>3</v>
      </c>
      <c r="C24" s="2"/>
      <c r="D24" s="2"/>
      <c r="E24" s="2"/>
      <c r="F24" s="2"/>
      <c r="G24" s="2"/>
      <c r="H24" s="2"/>
      <c r="I24" s="2"/>
      <c r="J24" s="2"/>
      <c r="K24" s="2"/>
      <c r="L24" s="2"/>
      <c r="M24" s="2"/>
      <c r="N24" s="2"/>
      <c r="O24" s="2"/>
    </row>
    <row r="25" spans="1:15" ht="12.75">
      <c r="A25" s="4"/>
      <c r="B25" s="2" t="s">
        <v>2</v>
      </c>
      <c r="C25" s="2"/>
      <c r="D25" s="2"/>
      <c r="E25" s="2"/>
      <c r="F25" s="2"/>
      <c r="G25" s="2"/>
      <c r="H25" s="2"/>
      <c r="I25" s="2"/>
      <c r="J25" s="2"/>
      <c r="K25" s="2"/>
      <c r="L25" s="2"/>
      <c r="M25" s="2"/>
      <c r="N25" s="2"/>
      <c r="O25" s="2"/>
    </row>
    <row r="26" spans="1:15" ht="12.75">
      <c r="A26" s="6" t="s">
        <v>14</v>
      </c>
      <c r="B26" s="5" t="s">
        <v>13</v>
      </c>
      <c r="C26" s="2"/>
      <c r="D26" s="2"/>
      <c r="E26" s="2"/>
      <c r="F26" s="2"/>
      <c r="G26" s="2"/>
      <c r="H26" s="2"/>
      <c r="I26" s="2"/>
      <c r="J26" s="2"/>
      <c r="K26" s="2"/>
      <c r="L26" s="2"/>
      <c r="M26" s="2"/>
      <c r="N26" s="2"/>
      <c r="O26" s="2"/>
    </row>
    <row r="27" spans="1:15" ht="12.75">
      <c r="A27" s="4" t="s">
        <v>10</v>
      </c>
      <c r="B27" s="2" t="s">
        <v>9</v>
      </c>
      <c r="C27" s="2"/>
      <c r="D27" s="2"/>
      <c r="E27" s="2"/>
      <c r="F27" s="2"/>
      <c r="G27" s="2"/>
      <c r="H27" s="2"/>
      <c r="I27" s="2"/>
      <c r="J27" s="2"/>
      <c r="K27" s="2"/>
      <c r="L27" s="2"/>
      <c r="M27" s="2"/>
      <c r="N27" s="2"/>
      <c r="O27" s="2"/>
    </row>
    <row r="28" spans="1:15" ht="12.75">
      <c r="A28" s="4" t="s">
        <v>8</v>
      </c>
      <c r="B28" s="2" t="s">
        <v>7</v>
      </c>
      <c r="C28" s="2"/>
      <c r="D28" s="2"/>
      <c r="E28" s="2"/>
      <c r="F28" s="2"/>
      <c r="G28" s="2"/>
      <c r="H28" s="2"/>
      <c r="I28" s="2"/>
      <c r="J28" s="2"/>
      <c r="K28" s="2"/>
      <c r="L28" s="2"/>
      <c r="M28" s="2"/>
      <c r="N28" s="2"/>
      <c r="O28" s="2"/>
    </row>
    <row r="29" spans="1:15" ht="12.75">
      <c r="A29" s="4" t="s">
        <v>6</v>
      </c>
      <c r="B29" s="2" t="s">
        <v>5</v>
      </c>
      <c r="C29" s="2"/>
      <c r="D29" s="2"/>
      <c r="E29" s="2"/>
      <c r="F29" s="2"/>
      <c r="G29" s="2"/>
      <c r="H29" s="2"/>
      <c r="I29" s="2"/>
      <c r="J29" s="2"/>
      <c r="K29" s="2"/>
      <c r="L29" s="2"/>
      <c r="M29" s="2"/>
      <c r="N29" s="2"/>
      <c r="O29" s="2"/>
    </row>
    <row r="30" spans="1:15" ht="12.75">
      <c r="A30" s="4" t="s">
        <v>4</v>
      </c>
      <c r="B30" s="2" t="s">
        <v>3</v>
      </c>
      <c r="C30" s="2"/>
      <c r="D30" s="2"/>
      <c r="E30" s="2"/>
      <c r="F30" s="2"/>
      <c r="G30" s="2"/>
      <c r="H30" s="2"/>
      <c r="I30" s="2"/>
      <c r="J30" s="2"/>
      <c r="K30" s="2"/>
      <c r="L30" s="2"/>
      <c r="M30" s="2"/>
      <c r="N30" s="2"/>
      <c r="O30" s="2"/>
    </row>
    <row r="31" spans="1:15" ht="12.75">
      <c r="A31" s="4"/>
      <c r="B31" s="2" t="s">
        <v>2</v>
      </c>
      <c r="C31" s="2"/>
      <c r="D31" s="2"/>
      <c r="E31" s="2"/>
      <c r="F31" s="2"/>
      <c r="G31" s="2"/>
      <c r="H31" s="2"/>
      <c r="I31" s="2"/>
      <c r="J31" s="2"/>
      <c r="K31" s="2"/>
      <c r="L31" s="2"/>
      <c r="M31" s="2"/>
      <c r="N31" s="2"/>
      <c r="O31" s="2"/>
    </row>
    <row r="32" spans="1:15" ht="12.75">
      <c r="A32" s="6" t="s">
        <v>12</v>
      </c>
      <c r="B32" s="5" t="s">
        <v>11</v>
      </c>
      <c r="C32" s="2"/>
      <c r="D32" s="2"/>
      <c r="E32" s="2"/>
      <c r="F32" s="2"/>
      <c r="G32" s="2"/>
      <c r="H32" s="2"/>
      <c r="I32" s="2"/>
      <c r="J32" s="2"/>
      <c r="K32" s="2"/>
      <c r="L32" s="2"/>
      <c r="M32" s="2"/>
      <c r="N32" s="2"/>
      <c r="O32" s="2"/>
    </row>
    <row r="33" spans="1:15" ht="12.75">
      <c r="A33" s="4" t="s">
        <v>10</v>
      </c>
      <c r="B33" s="2" t="s">
        <v>9</v>
      </c>
      <c r="C33" s="2"/>
      <c r="D33" s="2"/>
      <c r="E33" s="2"/>
      <c r="F33" s="2"/>
      <c r="G33" s="2"/>
      <c r="H33" s="2"/>
      <c r="I33" s="2"/>
      <c r="J33" s="2"/>
      <c r="K33" s="2"/>
      <c r="L33" s="2"/>
      <c r="M33" s="2"/>
      <c r="N33" s="2"/>
      <c r="O33" s="2"/>
    </row>
    <row r="34" spans="1:15" ht="12.75">
      <c r="A34" s="4" t="s">
        <v>8</v>
      </c>
      <c r="B34" s="2" t="s">
        <v>7</v>
      </c>
      <c r="C34" s="2"/>
      <c r="D34" s="2"/>
      <c r="E34" s="2"/>
      <c r="F34" s="2"/>
      <c r="G34" s="2"/>
      <c r="H34" s="2"/>
      <c r="I34" s="2"/>
      <c r="J34" s="2"/>
      <c r="K34" s="2"/>
      <c r="L34" s="2"/>
      <c r="M34" s="2"/>
      <c r="N34" s="2"/>
      <c r="O34" s="2"/>
    </row>
    <row r="35" spans="1:15" ht="12.75">
      <c r="A35" s="4" t="s">
        <v>6</v>
      </c>
      <c r="B35" s="2" t="s">
        <v>5</v>
      </c>
      <c r="C35" s="2"/>
      <c r="D35" s="2"/>
      <c r="E35" s="2"/>
      <c r="F35" s="2"/>
      <c r="G35" s="2"/>
      <c r="H35" s="2"/>
      <c r="I35" s="2"/>
      <c r="J35" s="2"/>
      <c r="K35" s="2"/>
      <c r="L35" s="2"/>
      <c r="M35" s="2"/>
      <c r="N35" s="2"/>
      <c r="O35" s="2"/>
    </row>
    <row r="36" spans="1:15" ht="12.75">
      <c r="A36" s="4" t="s">
        <v>4</v>
      </c>
      <c r="B36" s="2" t="s">
        <v>3</v>
      </c>
      <c r="C36" s="2"/>
      <c r="D36" s="2"/>
      <c r="E36" s="2"/>
      <c r="F36" s="2"/>
      <c r="G36" s="2"/>
      <c r="H36" s="2"/>
      <c r="I36" s="2"/>
      <c r="J36" s="2"/>
      <c r="K36" s="2"/>
      <c r="L36" s="2"/>
      <c r="M36" s="2"/>
      <c r="N36" s="2"/>
      <c r="O36" s="2"/>
    </row>
    <row r="37" spans="1:15" ht="12.75">
      <c r="A37" s="4"/>
      <c r="B37" s="2" t="s">
        <v>2</v>
      </c>
      <c r="C37" s="2"/>
      <c r="D37" s="2"/>
      <c r="E37" s="2"/>
      <c r="F37" s="2"/>
      <c r="G37" s="2"/>
      <c r="H37" s="2"/>
      <c r="I37" s="2"/>
      <c r="J37" s="2"/>
      <c r="K37" s="2"/>
      <c r="L37" s="2"/>
      <c r="M37" s="2"/>
      <c r="N37" s="2"/>
      <c r="O37" s="2"/>
    </row>
  </sheetData>
  <sheetProtection/>
  <mergeCells count="1">
    <mergeCell ref="B1:H1"/>
  </mergeCells>
  <printOptions horizontalCentered="1"/>
  <pageMargins left="0.17" right="0.17" top="0.39" bottom="0.37" header="0.27" footer="0.16"/>
  <pageSetup firstPageNumber="99" useFirstPageNumber="1" horizontalDpi="600" verticalDpi="600" orientation="landscape" paperSize="9" scale="85"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dimension ref="A1:O89"/>
  <sheetViews>
    <sheetView zoomScale="85" zoomScaleNormal="85" zoomScalePageLayoutView="0" workbookViewId="0" topLeftCell="A1">
      <selection activeCell="A29" sqref="A29:O29"/>
    </sheetView>
  </sheetViews>
  <sheetFormatPr defaultColWidth="9.140625" defaultRowHeight="15"/>
  <cols>
    <col min="1" max="1" width="4.421875" style="118" customWidth="1"/>
    <col min="2" max="2" width="36.28125" style="117" customWidth="1"/>
    <col min="3" max="4" width="13.7109375" style="117" customWidth="1"/>
    <col min="5" max="5" width="14.421875" style="117" customWidth="1"/>
    <col min="6" max="6" width="14.28125" style="117" customWidth="1"/>
    <col min="7" max="7" width="12.8515625" style="117" customWidth="1"/>
    <col min="8" max="8" width="13.28125" style="117" customWidth="1"/>
    <col min="9" max="9" width="11.57421875" style="117" customWidth="1"/>
    <col min="10" max="10" width="13.7109375" style="117" customWidth="1"/>
    <col min="11" max="11" width="12.28125" style="117" customWidth="1"/>
    <col min="12" max="15" width="17.57421875" style="117" customWidth="1"/>
    <col min="16" max="16384" width="9.140625" style="117" customWidth="1"/>
  </cols>
  <sheetData>
    <row r="1" spans="1:15" ht="18">
      <c r="A1" s="356" t="s">
        <v>491</v>
      </c>
      <c r="B1" s="356"/>
      <c r="C1" s="356"/>
      <c r="D1" s="356"/>
      <c r="E1" s="356"/>
      <c r="F1" s="356"/>
      <c r="G1" s="356"/>
      <c r="H1" s="356"/>
      <c r="I1" s="356"/>
      <c r="J1" s="356"/>
      <c r="K1" s="356"/>
      <c r="L1" s="356"/>
      <c r="M1" s="356"/>
      <c r="N1" s="356"/>
      <c r="O1" s="356"/>
    </row>
    <row r="2" spans="1:15" ht="18">
      <c r="A2" s="272"/>
      <c r="B2" s="273"/>
      <c r="C2" s="273"/>
      <c r="D2" s="273"/>
      <c r="E2" s="273"/>
      <c r="F2" s="273"/>
      <c r="G2" s="273"/>
      <c r="H2" s="273"/>
      <c r="I2" s="273" t="s">
        <v>481</v>
      </c>
      <c r="J2" s="273"/>
      <c r="K2" s="273"/>
      <c r="L2" s="273"/>
      <c r="M2" s="273"/>
      <c r="N2" s="273"/>
      <c r="O2" s="274"/>
    </row>
    <row r="3" spans="1:15" s="119" customFormat="1" ht="23.25" customHeight="1">
      <c r="A3" s="357" t="s">
        <v>480</v>
      </c>
      <c r="B3" s="358"/>
      <c r="C3" s="358"/>
      <c r="D3" s="358"/>
      <c r="E3" s="358"/>
      <c r="F3" s="358"/>
      <c r="G3" s="358"/>
      <c r="H3" s="358"/>
      <c r="I3" s="358"/>
      <c r="J3" s="358"/>
      <c r="K3" s="358"/>
      <c r="L3" s="358"/>
      <c r="M3" s="358"/>
      <c r="N3" s="358"/>
      <c r="O3" s="358"/>
    </row>
    <row r="4" spans="1:15" s="119" customFormat="1" ht="23.25" customHeight="1">
      <c r="A4" s="363" t="s">
        <v>479</v>
      </c>
      <c r="B4" s="363"/>
      <c r="C4" s="363"/>
      <c r="D4" s="363"/>
      <c r="E4" s="363"/>
      <c r="F4" s="363"/>
      <c r="G4" s="363"/>
      <c r="H4" s="363"/>
      <c r="I4" s="363"/>
      <c r="J4" s="363"/>
      <c r="K4" s="363"/>
      <c r="L4" s="363"/>
      <c r="M4" s="363"/>
      <c r="N4" s="363"/>
      <c r="O4" s="363"/>
    </row>
    <row r="5" spans="1:15" s="119" customFormat="1" ht="20.25" customHeight="1">
      <c r="A5" s="361" t="s">
        <v>490</v>
      </c>
      <c r="B5" s="361"/>
      <c r="C5" s="361"/>
      <c r="D5" s="361"/>
      <c r="E5" s="361"/>
      <c r="F5" s="361"/>
      <c r="G5" s="361"/>
      <c r="H5" s="361"/>
      <c r="I5" s="361"/>
      <c r="J5" s="361"/>
      <c r="K5" s="361"/>
      <c r="L5" s="361"/>
      <c r="M5" s="361"/>
      <c r="N5" s="361"/>
      <c r="O5" s="361"/>
    </row>
    <row r="6" spans="1:15" s="119" customFormat="1" ht="19.5" customHeight="1">
      <c r="A6" s="260"/>
      <c r="B6" s="122" t="s">
        <v>477</v>
      </c>
      <c r="C6" s="354"/>
      <c r="D6" s="354"/>
      <c r="E6" s="354"/>
      <c r="F6" s="354"/>
      <c r="G6" s="354"/>
      <c r="H6" s="354"/>
      <c r="I6" s="354"/>
      <c r="J6" s="354"/>
      <c r="K6" s="354"/>
      <c r="L6" s="354"/>
      <c r="M6" s="354"/>
      <c r="N6" s="354"/>
      <c r="O6" s="354"/>
    </row>
    <row r="7" spans="1:15" s="119" customFormat="1" ht="19.5" customHeight="1">
      <c r="A7" s="260"/>
      <c r="B7" s="122" t="s">
        <v>489</v>
      </c>
      <c r="C7" s="354"/>
      <c r="D7" s="354"/>
      <c r="E7" s="354"/>
      <c r="F7" s="354"/>
      <c r="G7" s="354"/>
      <c r="H7" s="354"/>
      <c r="I7" s="354"/>
      <c r="J7" s="354"/>
      <c r="K7" s="354"/>
      <c r="L7" s="354"/>
      <c r="M7" s="354"/>
      <c r="N7" s="354"/>
      <c r="O7" s="354"/>
    </row>
    <row r="8" spans="1:15" s="119" customFormat="1" ht="19.5" customHeight="1">
      <c r="A8" s="260"/>
      <c r="B8" s="122" t="s">
        <v>488</v>
      </c>
      <c r="C8" s="354"/>
      <c r="D8" s="354"/>
      <c r="E8" s="354"/>
      <c r="F8" s="354"/>
      <c r="G8" s="354"/>
      <c r="H8" s="354"/>
      <c r="I8" s="354"/>
      <c r="J8" s="354"/>
      <c r="K8" s="354"/>
      <c r="L8" s="354"/>
      <c r="M8" s="354"/>
      <c r="N8" s="354"/>
      <c r="O8" s="354"/>
    </row>
    <row r="9" spans="1:15" s="119" customFormat="1" ht="19.5" customHeight="1">
      <c r="A9" s="260"/>
      <c r="B9" s="122" t="s">
        <v>487</v>
      </c>
      <c r="C9" s="354"/>
      <c r="D9" s="354"/>
      <c r="E9" s="354"/>
      <c r="F9" s="354"/>
      <c r="G9" s="354"/>
      <c r="H9" s="354"/>
      <c r="I9" s="354"/>
      <c r="J9" s="354"/>
      <c r="K9" s="354"/>
      <c r="L9" s="354"/>
      <c r="M9" s="354"/>
      <c r="N9" s="354"/>
      <c r="O9" s="354"/>
    </row>
    <row r="10" spans="1:15" s="119" customFormat="1" ht="24.75" customHeight="1">
      <c r="A10" s="260"/>
      <c r="B10" s="261"/>
      <c r="C10" s="362" t="s">
        <v>345</v>
      </c>
      <c r="D10" s="362"/>
      <c r="E10" s="362"/>
      <c r="F10" s="362"/>
      <c r="G10" s="362"/>
      <c r="H10" s="362"/>
      <c r="I10" s="362"/>
      <c r="J10" s="362"/>
      <c r="K10" s="362"/>
      <c r="L10" s="362"/>
      <c r="M10" s="362"/>
      <c r="N10" s="362"/>
      <c r="O10" s="362"/>
    </row>
    <row r="11" spans="1:15" s="119" customFormat="1" ht="24.75" customHeight="1">
      <c r="A11" s="262" t="s">
        <v>473</v>
      </c>
      <c r="B11" s="261" t="s">
        <v>472</v>
      </c>
      <c r="C11" s="121" t="s">
        <v>36</v>
      </c>
      <c r="D11" s="121" t="s">
        <v>35</v>
      </c>
      <c r="E11" s="121" t="s">
        <v>34</v>
      </c>
      <c r="F11" s="121" t="s">
        <v>33</v>
      </c>
      <c r="G11" s="121" t="s">
        <v>32</v>
      </c>
      <c r="H11" s="121" t="s">
        <v>31</v>
      </c>
      <c r="I11" s="121" t="s">
        <v>30</v>
      </c>
      <c r="J11" s="121" t="s">
        <v>29</v>
      </c>
      <c r="K11" s="121" t="s">
        <v>28</v>
      </c>
      <c r="L11" s="121" t="s">
        <v>27</v>
      </c>
      <c r="M11" s="121" t="s">
        <v>26</v>
      </c>
      <c r="N11" s="121" t="s">
        <v>25</v>
      </c>
      <c r="O11" s="121" t="s">
        <v>24</v>
      </c>
    </row>
    <row r="12" spans="1:15" s="119" customFormat="1" ht="24.75" customHeight="1">
      <c r="A12" s="262" t="s">
        <v>23</v>
      </c>
      <c r="B12" s="261" t="s">
        <v>451</v>
      </c>
      <c r="C12" s="125">
        <f aca="true" t="shared" si="0" ref="C12:O12">C13+C14</f>
        <v>476.16999999999996</v>
      </c>
      <c r="D12" s="125">
        <f t="shared" si="0"/>
        <v>523.7870000000001</v>
      </c>
      <c r="E12" s="125">
        <f t="shared" si="0"/>
        <v>576.1656999999998</v>
      </c>
      <c r="F12" s="125">
        <f t="shared" si="0"/>
        <v>633.7822699999998</v>
      </c>
      <c r="G12" s="125">
        <f t="shared" si="0"/>
        <v>697.1604969999999</v>
      </c>
      <c r="H12" s="125">
        <f t="shared" si="0"/>
        <v>766.8765467</v>
      </c>
      <c r="I12" s="125">
        <f t="shared" si="0"/>
        <v>843.5642013699999</v>
      </c>
      <c r="J12" s="125">
        <f t="shared" si="0"/>
        <v>927.9206215070001</v>
      </c>
      <c r="K12" s="125">
        <f t="shared" si="0"/>
        <v>1020.7126836577005</v>
      </c>
      <c r="L12" s="125">
        <f t="shared" si="0"/>
        <v>1122.78395202347</v>
      </c>
      <c r="M12" s="125">
        <f t="shared" si="0"/>
        <v>1235.0623472258171</v>
      </c>
      <c r="N12" s="125">
        <f t="shared" si="0"/>
        <v>1358.5685819483983</v>
      </c>
      <c r="O12" s="125">
        <f t="shared" si="0"/>
        <v>1494.4254401432388</v>
      </c>
    </row>
    <row r="13" spans="1:15" s="119" customFormat="1" ht="24.75" customHeight="1">
      <c r="A13" s="260" t="s">
        <v>16</v>
      </c>
      <c r="B13" s="263" t="s">
        <v>448</v>
      </c>
      <c r="C13" s="125">
        <v>408.03</v>
      </c>
      <c r="D13" s="125">
        <v>448.83300000000014</v>
      </c>
      <c r="E13" s="125">
        <v>493.7162999999998</v>
      </c>
      <c r="F13" s="125">
        <v>543.0879299999998</v>
      </c>
      <c r="G13" s="125">
        <v>597.3967229999998</v>
      </c>
      <c r="H13" s="125">
        <v>657.1363953</v>
      </c>
      <c r="I13" s="125">
        <v>722.8500348299999</v>
      </c>
      <c r="J13" s="125">
        <v>795.135038313</v>
      </c>
      <c r="K13" s="125">
        <v>874.6485421443006</v>
      </c>
      <c r="L13" s="125">
        <v>962.1133963587299</v>
      </c>
      <c r="M13" s="125">
        <v>1058.324735994603</v>
      </c>
      <c r="N13" s="125">
        <v>1164.1572095940628</v>
      </c>
      <c r="O13" s="125">
        <v>1280.5729305534699</v>
      </c>
    </row>
    <row r="14" spans="1:15" s="119" customFormat="1" ht="24.75" customHeight="1">
      <c r="A14" s="260" t="s">
        <v>14</v>
      </c>
      <c r="B14" s="263" t="s">
        <v>447</v>
      </c>
      <c r="C14" s="125">
        <v>68.13999999999999</v>
      </c>
      <c r="D14" s="125">
        <v>74.95400000000001</v>
      </c>
      <c r="E14" s="125">
        <v>82.44939999999997</v>
      </c>
      <c r="F14" s="125">
        <v>90.69434000000001</v>
      </c>
      <c r="G14" s="125">
        <v>99.76377400000001</v>
      </c>
      <c r="H14" s="125">
        <v>109.74015139999995</v>
      </c>
      <c r="I14" s="125">
        <v>120.71416653999995</v>
      </c>
      <c r="J14" s="125">
        <v>132.78558319400008</v>
      </c>
      <c r="K14" s="125">
        <v>146.06414151339993</v>
      </c>
      <c r="L14" s="125">
        <v>160.67055566474005</v>
      </c>
      <c r="M14" s="125">
        <v>176.73761123121403</v>
      </c>
      <c r="N14" s="125">
        <v>194.41137235433553</v>
      </c>
      <c r="O14" s="264">
        <v>213.85250958976894</v>
      </c>
    </row>
    <row r="15" spans="1:15" s="119" customFormat="1" ht="24.75" customHeight="1">
      <c r="A15" s="262" t="s">
        <v>18</v>
      </c>
      <c r="B15" s="265" t="s">
        <v>450</v>
      </c>
      <c r="C15" s="124"/>
      <c r="D15" s="124"/>
      <c r="E15" s="124"/>
      <c r="F15" s="124"/>
      <c r="G15" s="124"/>
      <c r="H15" s="124"/>
      <c r="I15" s="124"/>
      <c r="J15" s="124"/>
      <c r="K15" s="124"/>
      <c r="L15" s="124"/>
      <c r="M15" s="124"/>
      <c r="N15" s="124"/>
      <c r="O15" s="266"/>
    </row>
    <row r="16" spans="1:15" s="119" customFormat="1" ht="24.75" customHeight="1">
      <c r="A16" s="260" t="s">
        <v>16</v>
      </c>
      <c r="B16" s="263" t="s">
        <v>446</v>
      </c>
      <c r="C16" s="124"/>
      <c r="D16" s="124"/>
      <c r="E16" s="124"/>
      <c r="F16" s="124"/>
      <c r="G16" s="124"/>
      <c r="H16" s="124"/>
      <c r="I16" s="124"/>
      <c r="J16" s="124"/>
      <c r="K16" s="124"/>
      <c r="L16" s="124"/>
      <c r="M16" s="124"/>
      <c r="N16" s="124"/>
      <c r="O16" s="266"/>
    </row>
    <row r="17" spans="1:15" s="119" customFormat="1" ht="24.75" customHeight="1">
      <c r="A17" s="260"/>
      <c r="B17" s="267" t="s">
        <v>471</v>
      </c>
      <c r="C17" s="120">
        <v>25.51</v>
      </c>
      <c r="D17" s="120">
        <v>25.52</v>
      </c>
      <c r="E17" s="120">
        <v>26.8</v>
      </c>
      <c r="F17" s="120">
        <v>31.5</v>
      </c>
      <c r="G17" s="120">
        <v>53.1</v>
      </c>
      <c r="H17" s="120">
        <v>55.760000000000005</v>
      </c>
      <c r="I17" s="120">
        <v>58.540000000000006</v>
      </c>
      <c r="J17" s="120">
        <v>61.47</v>
      </c>
      <c r="K17" s="120">
        <v>64.53999999999999</v>
      </c>
      <c r="L17" s="120">
        <v>70.994</v>
      </c>
      <c r="M17" s="120">
        <v>78.0934</v>
      </c>
      <c r="N17" s="120">
        <v>85.90274000000002</v>
      </c>
      <c r="O17" s="120">
        <v>94.49301400000002</v>
      </c>
    </row>
    <row r="18" spans="1:15" s="119" customFormat="1" ht="24.75" customHeight="1">
      <c r="A18" s="260"/>
      <c r="B18" s="267" t="s">
        <v>470</v>
      </c>
      <c r="C18" s="120"/>
      <c r="D18" s="120"/>
      <c r="E18" s="120"/>
      <c r="F18" s="120"/>
      <c r="G18" s="120"/>
      <c r="H18" s="120"/>
      <c r="I18" s="120"/>
      <c r="J18" s="120"/>
      <c r="K18" s="120"/>
      <c r="L18" s="120"/>
      <c r="M18" s="120"/>
      <c r="N18" s="120"/>
      <c r="O18" s="268"/>
    </row>
    <row r="19" spans="1:15" s="119" customFormat="1" ht="24.75" customHeight="1">
      <c r="A19" s="260"/>
      <c r="B19" s="267" t="s">
        <v>469</v>
      </c>
      <c r="C19" s="120">
        <v>25.51</v>
      </c>
      <c r="D19" s="120">
        <v>25.52</v>
      </c>
      <c r="E19" s="120">
        <v>26.8</v>
      </c>
      <c r="F19" s="120">
        <v>31.5</v>
      </c>
      <c r="G19" s="120">
        <v>53.1</v>
      </c>
      <c r="H19" s="120">
        <v>55.760000000000005</v>
      </c>
      <c r="I19" s="120">
        <v>58.540000000000006</v>
      </c>
      <c r="J19" s="120">
        <v>61.47</v>
      </c>
      <c r="K19" s="120">
        <v>64.53999999999999</v>
      </c>
      <c r="L19" s="120">
        <v>70.994</v>
      </c>
      <c r="M19" s="120">
        <v>78.0934</v>
      </c>
      <c r="N19" s="120">
        <v>85.90274000000002</v>
      </c>
      <c r="O19" s="120">
        <v>94.49301400000002</v>
      </c>
    </row>
    <row r="20" spans="1:15" s="119" customFormat="1" ht="24.75" customHeight="1">
      <c r="A20" s="260"/>
      <c r="B20" s="267" t="s">
        <v>468</v>
      </c>
      <c r="C20" s="124">
        <v>291.76</v>
      </c>
      <c r="D20" s="124">
        <v>296.05</v>
      </c>
      <c r="E20" s="124">
        <v>324.22</v>
      </c>
      <c r="F20" s="120">
        <v>374.94000000000005</v>
      </c>
      <c r="G20" s="120">
        <v>423.03000000000003</v>
      </c>
      <c r="H20" s="120">
        <v>444.18</v>
      </c>
      <c r="I20" s="120">
        <v>466.39000000000004</v>
      </c>
      <c r="J20" s="120">
        <v>489.7099999999999</v>
      </c>
      <c r="K20" s="120">
        <v>514.1999999999999</v>
      </c>
      <c r="L20" s="120">
        <v>565.62</v>
      </c>
      <c r="M20" s="120">
        <v>622.182</v>
      </c>
      <c r="N20" s="120">
        <v>684.4002</v>
      </c>
      <c r="O20" s="120">
        <v>752.8402200000002</v>
      </c>
    </row>
    <row r="21" spans="1:15" s="119" customFormat="1" ht="24.75" customHeight="1">
      <c r="A21" s="260" t="s">
        <v>14</v>
      </c>
      <c r="B21" s="263" t="s">
        <v>467</v>
      </c>
      <c r="C21" s="124"/>
      <c r="D21" s="124"/>
      <c r="E21" s="124"/>
      <c r="F21" s="124"/>
      <c r="G21" s="124"/>
      <c r="H21" s="124"/>
      <c r="I21" s="124"/>
      <c r="J21" s="124"/>
      <c r="K21" s="124"/>
      <c r="L21" s="124"/>
      <c r="M21" s="124"/>
      <c r="N21" s="124"/>
      <c r="O21" s="266"/>
    </row>
    <row r="22" spans="1:15" s="119" customFormat="1" ht="24.75" customHeight="1">
      <c r="A22" s="260"/>
      <c r="B22" s="263" t="s">
        <v>466</v>
      </c>
      <c r="C22" s="120">
        <v>16.79</v>
      </c>
      <c r="D22" s="120">
        <v>1.84</v>
      </c>
      <c r="E22" s="120">
        <v>8.86</v>
      </c>
      <c r="F22" s="120">
        <v>155.82</v>
      </c>
      <c r="G22" s="120">
        <v>499.02</v>
      </c>
      <c r="H22" s="120">
        <v>464.86</v>
      </c>
      <c r="I22" s="120">
        <v>740.39</v>
      </c>
      <c r="J22" s="120">
        <v>993.47</v>
      </c>
      <c r="K22" s="120"/>
      <c r="L22" s="120"/>
      <c r="M22" s="120"/>
      <c r="N22" s="120"/>
      <c r="O22" s="120"/>
    </row>
    <row r="23" spans="1:15" s="119" customFormat="1" ht="28.5">
      <c r="A23" s="260"/>
      <c r="B23" s="263" t="s">
        <v>465</v>
      </c>
      <c r="C23" s="120"/>
      <c r="D23" s="120"/>
      <c r="E23" s="120"/>
      <c r="F23" s="120"/>
      <c r="G23" s="120"/>
      <c r="H23" s="120"/>
      <c r="I23" s="120"/>
      <c r="J23" s="120"/>
      <c r="K23" s="120"/>
      <c r="L23" s="120"/>
      <c r="M23" s="120"/>
      <c r="N23" s="120"/>
      <c r="O23" s="268"/>
    </row>
    <row r="24" spans="1:15" s="119" customFormat="1" ht="24.75" customHeight="1">
      <c r="A24" s="260"/>
      <c r="B24" s="263" t="s">
        <v>464</v>
      </c>
      <c r="C24" s="120">
        <v>162.44</v>
      </c>
      <c r="D24" s="120">
        <v>195.22</v>
      </c>
      <c r="E24" s="120">
        <v>221.39</v>
      </c>
      <c r="F24" s="120">
        <v>145.2</v>
      </c>
      <c r="G24" s="120">
        <v>165.17</v>
      </c>
      <c r="H24" s="120">
        <v>191.14</v>
      </c>
      <c r="I24" s="120">
        <v>199.27</v>
      </c>
      <c r="J24" s="120">
        <v>290.35</v>
      </c>
      <c r="K24" s="120">
        <v>574.87</v>
      </c>
      <c r="L24" s="120">
        <v>628.83</v>
      </c>
      <c r="M24" s="120">
        <v>689.24</v>
      </c>
      <c r="N24" s="120">
        <v>756.91</v>
      </c>
      <c r="O24" s="120">
        <v>832.8</v>
      </c>
    </row>
    <row r="25" spans="1:15" s="119" customFormat="1" ht="30.75" customHeight="1">
      <c r="A25" s="260"/>
      <c r="B25" s="263" t="s">
        <v>463</v>
      </c>
      <c r="C25" s="120"/>
      <c r="D25" s="120"/>
      <c r="E25" s="120"/>
      <c r="F25" s="120"/>
      <c r="G25" s="120">
        <v>129.44</v>
      </c>
      <c r="H25" s="120">
        <v>127.56</v>
      </c>
      <c r="I25" s="120">
        <v>123.76</v>
      </c>
      <c r="J25" s="120">
        <v>117.63</v>
      </c>
      <c r="K25" s="120"/>
      <c r="L25" s="120"/>
      <c r="M25" s="120"/>
      <c r="N25" s="120"/>
      <c r="O25" s="120"/>
    </row>
    <row r="26" spans="1:15" s="119" customFormat="1" ht="30.75" customHeight="1">
      <c r="A26" s="260"/>
      <c r="B26" s="263" t="s">
        <v>462</v>
      </c>
      <c r="C26" s="124"/>
      <c r="D26" s="124"/>
      <c r="E26" s="124"/>
      <c r="F26" s="124"/>
      <c r="G26" s="124"/>
      <c r="H26" s="124"/>
      <c r="I26" s="124"/>
      <c r="J26" s="124"/>
      <c r="K26" s="124"/>
      <c r="L26" s="124"/>
      <c r="M26" s="124"/>
      <c r="N26" s="124"/>
      <c r="O26" s="266"/>
    </row>
    <row r="27" spans="1:15" s="119" customFormat="1" ht="24.75" customHeight="1">
      <c r="A27" s="260"/>
      <c r="B27" s="263" t="s">
        <v>461</v>
      </c>
      <c r="C27" s="124">
        <v>10.46</v>
      </c>
      <c r="D27" s="124">
        <v>8.85</v>
      </c>
      <c r="E27" s="124">
        <v>4.3</v>
      </c>
      <c r="F27" s="124">
        <v>218.7</v>
      </c>
      <c r="G27" s="124"/>
      <c r="H27" s="124"/>
      <c r="I27" s="124"/>
      <c r="J27" s="124"/>
      <c r="K27" s="124"/>
      <c r="L27" s="124"/>
      <c r="M27" s="124"/>
      <c r="N27" s="124"/>
      <c r="O27" s="266"/>
    </row>
    <row r="28" spans="1:15" ht="12.75">
      <c r="A28" s="355"/>
      <c r="B28" s="355"/>
      <c r="C28" s="355"/>
      <c r="D28" s="355"/>
      <c r="E28" s="355"/>
      <c r="F28" s="355"/>
      <c r="G28" s="355"/>
      <c r="H28" s="355"/>
      <c r="I28" s="355"/>
      <c r="J28" s="355"/>
      <c r="K28" s="355"/>
      <c r="L28" s="355"/>
      <c r="M28" s="355"/>
      <c r="N28" s="355"/>
      <c r="O28" s="355"/>
    </row>
    <row r="29" spans="1:15" ht="12.75">
      <c r="A29" s="355"/>
      <c r="B29" s="355"/>
      <c r="C29" s="355"/>
      <c r="D29" s="355"/>
      <c r="E29" s="355"/>
      <c r="F29" s="355"/>
      <c r="G29" s="355"/>
      <c r="H29" s="355"/>
      <c r="I29" s="355"/>
      <c r="J29" s="355"/>
      <c r="K29" s="355"/>
      <c r="L29" s="355"/>
      <c r="M29" s="355"/>
      <c r="N29" s="355"/>
      <c r="O29" s="355"/>
    </row>
    <row r="30" spans="3:15" ht="12.75">
      <c r="C30" s="123"/>
      <c r="D30" s="123"/>
      <c r="E30" s="123"/>
      <c r="F30" s="123"/>
      <c r="G30" s="123"/>
      <c r="H30" s="123"/>
      <c r="I30" s="123"/>
      <c r="J30" s="123"/>
      <c r="K30" s="123"/>
      <c r="L30" s="123"/>
      <c r="M30" s="123"/>
      <c r="N30" s="123"/>
      <c r="O30" s="123"/>
    </row>
    <row r="31" spans="3:15" ht="12.75">
      <c r="C31" s="123"/>
      <c r="D31" s="123"/>
      <c r="E31" s="123"/>
      <c r="F31" s="123"/>
      <c r="G31" s="123"/>
      <c r="H31" s="123"/>
      <c r="I31" s="123"/>
      <c r="J31" s="123"/>
      <c r="K31" s="123"/>
      <c r="L31" s="123"/>
      <c r="M31" s="123"/>
      <c r="N31" s="123"/>
      <c r="O31" s="123"/>
    </row>
    <row r="32" spans="1:15" ht="18">
      <c r="A32" s="356" t="s">
        <v>486</v>
      </c>
      <c r="B32" s="356"/>
      <c r="C32" s="356"/>
      <c r="D32" s="356"/>
      <c r="E32" s="356"/>
      <c r="F32" s="356"/>
      <c r="G32" s="356"/>
      <c r="H32" s="356"/>
      <c r="I32" s="356"/>
      <c r="J32" s="356"/>
      <c r="K32" s="356"/>
      <c r="L32" s="356"/>
      <c r="M32" s="356"/>
      <c r="N32" s="356"/>
      <c r="O32" s="356"/>
    </row>
    <row r="33" spans="1:15" ht="18">
      <c r="A33" s="272"/>
      <c r="B33" s="273"/>
      <c r="C33" s="273"/>
      <c r="D33" s="273"/>
      <c r="E33" s="273"/>
      <c r="F33" s="273"/>
      <c r="G33" s="273"/>
      <c r="H33" s="273"/>
      <c r="I33" s="273" t="s">
        <v>481</v>
      </c>
      <c r="J33" s="273"/>
      <c r="K33" s="273"/>
      <c r="L33" s="273"/>
      <c r="M33" s="273"/>
      <c r="N33" s="273"/>
      <c r="O33" s="274"/>
    </row>
    <row r="34" spans="1:15" s="119" customFormat="1" ht="23.25" customHeight="1">
      <c r="A34" s="364" t="s">
        <v>480</v>
      </c>
      <c r="B34" s="365"/>
      <c r="C34" s="365"/>
      <c r="D34" s="365"/>
      <c r="E34" s="365"/>
      <c r="F34" s="365"/>
      <c r="G34" s="365"/>
      <c r="H34" s="365"/>
      <c r="I34" s="365"/>
      <c r="J34" s="365"/>
      <c r="K34" s="365"/>
      <c r="L34" s="365"/>
      <c r="M34" s="365"/>
      <c r="N34" s="365"/>
      <c r="O34" s="365"/>
    </row>
    <row r="35" spans="1:15" s="119" customFormat="1" ht="23.25" customHeight="1">
      <c r="A35" s="363" t="s">
        <v>479</v>
      </c>
      <c r="B35" s="363"/>
      <c r="C35" s="363"/>
      <c r="D35" s="363"/>
      <c r="E35" s="363"/>
      <c r="F35" s="363"/>
      <c r="G35" s="363"/>
      <c r="H35" s="363"/>
      <c r="I35" s="363"/>
      <c r="J35" s="363"/>
      <c r="K35" s="363"/>
      <c r="L35" s="363"/>
      <c r="M35" s="363"/>
      <c r="N35" s="363"/>
      <c r="O35" s="363"/>
    </row>
    <row r="36" spans="1:15" s="119" customFormat="1" ht="20.25" customHeight="1">
      <c r="A36" s="366" t="s">
        <v>20</v>
      </c>
      <c r="B36" s="367"/>
      <c r="C36" s="367"/>
      <c r="D36" s="367"/>
      <c r="E36" s="367"/>
      <c r="F36" s="367"/>
      <c r="G36" s="367"/>
      <c r="H36" s="367"/>
      <c r="I36" s="367"/>
      <c r="J36" s="367"/>
      <c r="K36" s="367"/>
      <c r="L36" s="367"/>
      <c r="M36" s="367"/>
      <c r="N36" s="367"/>
      <c r="O36" s="368"/>
    </row>
    <row r="37" spans="1:15" s="119" customFormat="1" ht="19.5" customHeight="1">
      <c r="A37" s="260"/>
      <c r="B37" s="122" t="s">
        <v>477</v>
      </c>
      <c r="C37" s="354"/>
      <c r="D37" s="354"/>
      <c r="E37" s="354"/>
      <c r="F37" s="354"/>
      <c r="G37" s="354"/>
      <c r="H37" s="354"/>
      <c r="I37" s="354"/>
      <c r="J37" s="354"/>
      <c r="K37" s="354"/>
      <c r="L37" s="354"/>
      <c r="M37" s="354"/>
      <c r="N37" s="354"/>
      <c r="O37" s="354"/>
    </row>
    <row r="38" spans="1:15" s="119" customFormat="1" ht="19.5" customHeight="1">
      <c r="A38" s="260"/>
      <c r="B38" s="122" t="s">
        <v>485</v>
      </c>
      <c r="C38" s="354"/>
      <c r="D38" s="354"/>
      <c r="E38" s="354"/>
      <c r="F38" s="354"/>
      <c r="G38" s="354"/>
      <c r="H38" s="354"/>
      <c r="I38" s="354"/>
      <c r="J38" s="354"/>
      <c r="K38" s="354"/>
      <c r="L38" s="354"/>
      <c r="M38" s="354"/>
      <c r="N38" s="354"/>
      <c r="O38" s="354"/>
    </row>
    <row r="39" spans="1:15" s="119" customFormat="1" ht="19.5" customHeight="1">
      <c r="A39" s="260"/>
      <c r="B39" s="122" t="s">
        <v>484</v>
      </c>
      <c r="C39" s="354"/>
      <c r="D39" s="354"/>
      <c r="E39" s="354"/>
      <c r="F39" s="354"/>
      <c r="G39" s="354"/>
      <c r="H39" s="354"/>
      <c r="I39" s="354"/>
      <c r="J39" s="354"/>
      <c r="K39" s="354"/>
      <c r="L39" s="354"/>
      <c r="M39" s="354"/>
      <c r="N39" s="354"/>
      <c r="O39" s="354"/>
    </row>
    <row r="40" spans="1:15" s="119" customFormat="1" ht="19.5" customHeight="1">
      <c r="A40" s="260"/>
      <c r="B40" s="122" t="s">
        <v>483</v>
      </c>
      <c r="C40" s="354"/>
      <c r="D40" s="354"/>
      <c r="E40" s="354"/>
      <c r="F40" s="354"/>
      <c r="G40" s="354"/>
      <c r="H40" s="354"/>
      <c r="I40" s="354"/>
      <c r="J40" s="354"/>
      <c r="K40" s="354"/>
      <c r="L40" s="354"/>
      <c r="M40" s="354"/>
      <c r="N40" s="354"/>
      <c r="O40" s="354"/>
    </row>
    <row r="41" spans="1:15" s="119" customFormat="1" ht="19.5" customHeight="1">
      <c r="A41" s="260"/>
      <c r="B41" s="261"/>
      <c r="C41" s="362" t="s">
        <v>345</v>
      </c>
      <c r="D41" s="362"/>
      <c r="E41" s="362"/>
      <c r="F41" s="362"/>
      <c r="G41" s="362"/>
      <c r="H41" s="362"/>
      <c r="I41" s="362"/>
      <c r="J41" s="362"/>
      <c r="K41" s="362"/>
      <c r="L41" s="362"/>
      <c r="M41" s="362"/>
      <c r="N41" s="362"/>
      <c r="O41" s="362"/>
    </row>
    <row r="42" spans="1:15" s="119" customFormat="1" ht="19.5" customHeight="1">
      <c r="A42" s="262" t="s">
        <v>473</v>
      </c>
      <c r="B42" s="261" t="s">
        <v>472</v>
      </c>
      <c r="C42" s="121" t="s">
        <v>36</v>
      </c>
      <c r="D42" s="121" t="s">
        <v>35</v>
      </c>
      <c r="E42" s="121" t="s">
        <v>34</v>
      </c>
      <c r="F42" s="121" t="s">
        <v>33</v>
      </c>
      <c r="G42" s="121" t="s">
        <v>32</v>
      </c>
      <c r="H42" s="121" t="s">
        <v>31</v>
      </c>
      <c r="I42" s="121" t="s">
        <v>30</v>
      </c>
      <c r="J42" s="121" t="s">
        <v>29</v>
      </c>
      <c r="K42" s="121" t="s">
        <v>28</v>
      </c>
      <c r="L42" s="121" t="s">
        <v>27</v>
      </c>
      <c r="M42" s="121" t="s">
        <v>26</v>
      </c>
      <c r="N42" s="121" t="s">
        <v>25</v>
      </c>
      <c r="O42" s="121" t="s">
        <v>24</v>
      </c>
    </row>
    <row r="43" spans="1:15" s="119" customFormat="1" ht="24.75" customHeight="1">
      <c r="A43" s="262" t="s">
        <v>23</v>
      </c>
      <c r="B43" s="261" t="s">
        <v>451</v>
      </c>
      <c r="C43" s="125">
        <f aca="true" t="shared" si="1" ref="C43:O43">C44+C45</f>
        <v>72.79</v>
      </c>
      <c r="D43" s="125">
        <f t="shared" si="1"/>
        <v>87.43</v>
      </c>
      <c r="E43" s="125">
        <f t="shared" si="1"/>
        <v>99.58</v>
      </c>
      <c r="F43" s="125">
        <f t="shared" si="1"/>
        <v>273.53</v>
      </c>
      <c r="G43" s="125">
        <f t="shared" si="1"/>
        <v>310.47</v>
      </c>
      <c r="H43" s="125">
        <f t="shared" si="1"/>
        <v>501.15000000000003</v>
      </c>
      <c r="I43" s="125">
        <f t="shared" si="1"/>
        <v>545.0179999999999</v>
      </c>
      <c r="J43" s="125">
        <f t="shared" si="1"/>
        <v>607.1298000000002</v>
      </c>
      <c r="K43" s="125">
        <f t="shared" si="1"/>
        <v>667.8427800000001</v>
      </c>
      <c r="L43" s="125">
        <f t="shared" si="1"/>
        <v>734.627058</v>
      </c>
      <c r="M43" s="125">
        <f t="shared" si="1"/>
        <v>808.0897638000005</v>
      </c>
      <c r="N43" s="125">
        <f t="shared" si="1"/>
        <v>888.8987401800003</v>
      </c>
      <c r="O43" s="125">
        <f t="shared" si="1"/>
        <v>977.7886141980005</v>
      </c>
    </row>
    <row r="44" spans="1:15" s="119" customFormat="1" ht="24.75" customHeight="1">
      <c r="A44" s="260" t="s">
        <v>16</v>
      </c>
      <c r="B44" s="263" t="s">
        <v>448</v>
      </c>
      <c r="C44" s="120">
        <v>71.24000000000001</v>
      </c>
      <c r="D44" s="120">
        <v>79.53</v>
      </c>
      <c r="E44" s="120">
        <v>95.44</v>
      </c>
      <c r="F44" s="120">
        <v>251.50999999999996</v>
      </c>
      <c r="G44" s="120">
        <v>293.02000000000004</v>
      </c>
      <c r="H44" s="120">
        <v>446.05</v>
      </c>
      <c r="I44" s="120">
        <v>512.588</v>
      </c>
      <c r="J44" s="120">
        <v>571.4568000000002</v>
      </c>
      <c r="K44" s="120">
        <v>628.60248</v>
      </c>
      <c r="L44" s="120">
        <v>691.462728</v>
      </c>
      <c r="M44" s="120">
        <v>760.6090008000004</v>
      </c>
      <c r="N44" s="120">
        <v>836.6699008800003</v>
      </c>
      <c r="O44" s="120">
        <v>920.3368909680005</v>
      </c>
    </row>
    <row r="45" spans="1:15" s="119" customFormat="1" ht="24.75" customHeight="1">
      <c r="A45" s="260" t="s">
        <v>14</v>
      </c>
      <c r="B45" s="263" t="s">
        <v>447</v>
      </c>
      <c r="C45" s="120">
        <v>1.5499999999999972</v>
      </c>
      <c r="D45" s="120">
        <v>7.900000000000006</v>
      </c>
      <c r="E45" s="120">
        <v>4.140000000000001</v>
      </c>
      <c r="F45" s="120">
        <v>22.02000000000001</v>
      </c>
      <c r="G45" s="120">
        <v>17.44999999999999</v>
      </c>
      <c r="H45" s="120">
        <v>55.10000000000002</v>
      </c>
      <c r="I45" s="120">
        <v>32.42999999999995</v>
      </c>
      <c r="J45" s="120">
        <v>35.673</v>
      </c>
      <c r="K45" s="120">
        <v>39.24030000000005</v>
      </c>
      <c r="L45" s="120">
        <v>43.164330000000064</v>
      </c>
      <c r="M45" s="120">
        <v>47.480763000000024</v>
      </c>
      <c r="N45" s="120">
        <v>52.228839300000004</v>
      </c>
      <c r="O45" s="120">
        <v>57.45172322999997</v>
      </c>
    </row>
    <row r="46" spans="1:15" s="119" customFormat="1" ht="24.75" customHeight="1">
      <c r="A46" s="262" t="s">
        <v>18</v>
      </c>
      <c r="B46" s="265" t="s">
        <v>450</v>
      </c>
      <c r="C46" s="120"/>
      <c r="D46" s="120"/>
      <c r="E46" s="120"/>
      <c r="F46" s="120"/>
      <c r="G46" s="120"/>
      <c r="H46" s="120"/>
      <c r="I46" s="120"/>
      <c r="J46" s="120"/>
      <c r="K46" s="120"/>
      <c r="L46" s="120"/>
      <c r="M46" s="120"/>
      <c r="N46" s="120"/>
      <c r="O46" s="120"/>
    </row>
    <row r="47" spans="1:15" s="119" customFormat="1" ht="24.75" customHeight="1">
      <c r="A47" s="260" t="s">
        <v>16</v>
      </c>
      <c r="B47" s="263" t="s">
        <v>446</v>
      </c>
      <c r="C47" s="120"/>
      <c r="D47" s="120"/>
      <c r="E47" s="120"/>
      <c r="F47" s="120"/>
      <c r="G47" s="120"/>
      <c r="H47" s="120"/>
      <c r="I47" s="120"/>
      <c r="J47" s="120"/>
      <c r="K47" s="120"/>
      <c r="L47" s="120"/>
      <c r="M47" s="120"/>
      <c r="N47" s="120"/>
      <c r="O47" s="120"/>
    </row>
    <row r="48" spans="1:15" s="119" customFormat="1" ht="24.75" customHeight="1">
      <c r="A48" s="260"/>
      <c r="B48" s="267" t="s">
        <v>471</v>
      </c>
      <c r="C48" s="120">
        <v>9</v>
      </c>
      <c r="D48" s="120">
        <v>0</v>
      </c>
      <c r="E48" s="120">
        <v>0</v>
      </c>
      <c r="F48" s="120">
        <v>5.15</v>
      </c>
      <c r="G48" s="120">
        <v>4.6</v>
      </c>
      <c r="H48" s="120">
        <v>12.559999999999999</v>
      </c>
      <c r="I48" s="120">
        <v>13.565999999999999</v>
      </c>
      <c r="J48" s="120">
        <v>14.9226</v>
      </c>
      <c r="K48" s="120">
        <v>16.414859999999997</v>
      </c>
      <c r="L48" s="120">
        <v>18.056345999999998</v>
      </c>
      <c r="M48" s="120">
        <v>19.8619806</v>
      </c>
      <c r="N48" s="120">
        <v>21.84817866</v>
      </c>
      <c r="O48" s="120">
        <v>24.032996525999998</v>
      </c>
    </row>
    <row r="49" spans="1:15" s="119" customFormat="1" ht="24.75" customHeight="1">
      <c r="A49" s="260"/>
      <c r="B49" s="267" t="s">
        <v>470</v>
      </c>
      <c r="C49" s="120"/>
      <c r="D49" s="120"/>
      <c r="E49" s="120"/>
      <c r="F49" s="120"/>
      <c r="G49" s="120"/>
      <c r="H49" s="120"/>
      <c r="I49" s="120"/>
      <c r="J49" s="120"/>
      <c r="K49" s="120"/>
      <c r="L49" s="120"/>
      <c r="M49" s="120"/>
      <c r="N49" s="120"/>
      <c r="O49" s="120"/>
    </row>
    <row r="50" spans="1:15" s="119" customFormat="1" ht="24.75" customHeight="1">
      <c r="A50" s="260"/>
      <c r="B50" s="267" t="s">
        <v>469</v>
      </c>
      <c r="C50" s="120">
        <v>9</v>
      </c>
      <c r="D50" s="120">
        <v>0</v>
      </c>
      <c r="E50" s="120">
        <v>0</v>
      </c>
      <c r="F50" s="120">
        <v>5.15</v>
      </c>
      <c r="G50" s="120">
        <v>4.6</v>
      </c>
      <c r="H50" s="120">
        <v>13.059999999999999</v>
      </c>
      <c r="I50" s="120">
        <v>14.27</v>
      </c>
      <c r="J50" s="120">
        <v>14.9226</v>
      </c>
      <c r="K50" s="120">
        <v>16.414859999999997</v>
      </c>
      <c r="L50" s="120">
        <v>18.056345999999998</v>
      </c>
      <c r="M50" s="120">
        <v>19.8619806</v>
      </c>
      <c r="N50" s="120">
        <v>21.84817866</v>
      </c>
      <c r="O50" s="120">
        <v>24.032996525999998</v>
      </c>
    </row>
    <row r="51" spans="1:15" s="119" customFormat="1" ht="24.75" customHeight="1">
      <c r="A51" s="260"/>
      <c r="B51" s="267" t="s">
        <v>468</v>
      </c>
      <c r="C51" s="120">
        <v>41.99</v>
      </c>
      <c r="D51" s="120">
        <v>49.08</v>
      </c>
      <c r="E51" s="120">
        <v>49.94</v>
      </c>
      <c r="F51" s="120">
        <v>108.02</v>
      </c>
      <c r="G51" s="120">
        <v>158.72</v>
      </c>
      <c r="H51" s="120">
        <v>170.07000000000002</v>
      </c>
      <c r="I51" s="120">
        <v>168.7</v>
      </c>
      <c r="J51" s="120">
        <v>100.09999999999998</v>
      </c>
      <c r="K51" s="120">
        <v>110.11</v>
      </c>
      <c r="L51" s="120">
        <v>121.12099999999998</v>
      </c>
      <c r="M51" s="120">
        <v>133.23309999999998</v>
      </c>
      <c r="N51" s="120">
        <v>146.55641</v>
      </c>
      <c r="O51" s="120">
        <v>161.21205100000003</v>
      </c>
    </row>
    <row r="52" spans="1:15" s="119" customFormat="1" ht="24.75" customHeight="1">
      <c r="A52" s="260" t="s">
        <v>14</v>
      </c>
      <c r="B52" s="263" t="s">
        <v>467</v>
      </c>
      <c r="C52" s="120"/>
      <c r="D52" s="120"/>
      <c r="E52" s="120"/>
      <c r="F52" s="120"/>
      <c r="G52" s="120"/>
      <c r="H52" s="120"/>
      <c r="I52" s="120"/>
      <c r="J52" s="120"/>
      <c r="K52" s="120"/>
      <c r="L52" s="120"/>
      <c r="M52" s="120"/>
      <c r="N52" s="120"/>
      <c r="O52" s="120"/>
    </row>
    <row r="53" spans="1:15" s="119" customFormat="1" ht="24.75" customHeight="1">
      <c r="A53" s="260"/>
      <c r="B53" s="263" t="s">
        <v>466</v>
      </c>
      <c r="C53" s="120">
        <v>3.81</v>
      </c>
      <c r="D53" s="120">
        <v>4.14</v>
      </c>
      <c r="E53" s="120">
        <v>5.09</v>
      </c>
      <c r="F53" s="120">
        <v>43.88</v>
      </c>
      <c r="G53" s="120">
        <v>140.53</v>
      </c>
      <c r="H53" s="120">
        <v>130.92</v>
      </c>
      <c r="I53" s="120">
        <v>208.51</v>
      </c>
      <c r="J53" s="120">
        <f>I53*110%</f>
        <v>229.36100000000002</v>
      </c>
      <c r="K53" s="120"/>
      <c r="L53" s="120"/>
      <c r="M53" s="120"/>
      <c r="N53" s="120"/>
      <c r="O53" s="120"/>
    </row>
    <row r="54" spans="1:15" s="119" customFormat="1" ht="28.5">
      <c r="A54" s="260"/>
      <c r="B54" s="263" t="s">
        <v>465</v>
      </c>
      <c r="C54" s="120"/>
      <c r="D54" s="120"/>
      <c r="E54" s="120"/>
      <c r="F54" s="120"/>
      <c r="G54" s="120"/>
      <c r="H54" s="120"/>
      <c r="I54" s="120"/>
      <c r="J54" s="120"/>
      <c r="K54" s="120"/>
      <c r="L54" s="120"/>
      <c r="M54" s="120"/>
      <c r="N54" s="120"/>
      <c r="O54" s="120"/>
    </row>
    <row r="55" spans="1:15" s="119" customFormat="1" ht="24.75" customHeight="1">
      <c r="A55" s="260"/>
      <c r="B55" s="263" t="s">
        <v>464</v>
      </c>
      <c r="C55" s="120">
        <v>34.46</v>
      </c>
      <c r="D55" s="120">
        <v>41.42</v>
      </c>
      <c r="E55" s="120">
        <v>47.03</v>
      </c>
      <c r="F55" s="120">
        <v>40.89</v>
      </c>
      <c r="G55" s="120">
        <v>46.52</v>
      </c>
      <c r="H55" s="120">
        <v>53.82</v>
      </c>
      <c r="I55" s="120">
        <v>56.12</v>
      </c>
      <c r="J55" s="120">
        <v>81.77</v>
      </c>
      <c r="K55" s="120">
        <v>120.16</v>
      </c>
      <c r="L55" s="120">
        <v>131.44</v>
      </c>
      <c r="M55" s="120">
        <v>144.07</v>
      </c>
      <c r="N55" s="120">
        <v>158.21</v>
      </c>
      <c r="O55" s="120">
        <v>174.08</v>
      </c>
    </row>
    <row r="56" spans="1:15" s="119" customFormat="1" ht="30.75" customHeight="1">
      <c r="A56" s="260"/>
      <c r="B56" s="263" t="s">
        <v>463</v>
      </c>
      <c r="C56" s="120"/>
      <c r="D56" s="120"/>
      <c r="E56" s="120"/>
      <c r="F56" s="120"/>
      <c r="G56" s="120">
        <v>25.76</v>
      </c>
      <c r="H56" s="120">
        <v>33.42</v>
      </c>
      <c r="I56" s="120">
        <v>32.43</v>
      </c>
      <c r="J56" s="120">
        <v>30.81</v>
      </c>
      <c r="K56" s="120">
        <v>8.59</v>
      </c>
      <c r="L56" s="120">
        <v>9.4</v>
      </c>
      <c r="M56" s="120">
        <v>10.3</v>
      </c>
      <c r="N56" s="120">
        <v>11.31</v>
      </c>
      <c r="O56" s="120">
        <v>12.45</v>
      </c>
    </row>
    <row r="57" spans="1:15" s="119" customFormat="1" ht="30.75" customHeight="1">
      <c r="A57" s="260"/>
      <c r="B57" s="263" t="s">
        <v>462</v>
      </c>
      <c r="C57" s="120"/>
      <c r="D57" s="120"/>
      <c r="E57" s="120"/>
      <c r="F57" s="120"/>
      <c r="G57" s="120"/>
      <c r="H57" s="120"/>
      <c r="I57" s="120"/>
      <c r="J57" s="120"/>
      <c r="K57" s="120"/>
      <c r="L57" s="120"/>
      <c r="M57" s="120"/>
      <c r="N57" s="120"/>
      <c r="O57" s="120"/>
    </row>
    <row r="58" spans="1:15" s="119" customFormat="1" ht="24.75" customHeight="1">
      <c r="A58" s="260"/>
      <c r="B58" s="263" t="s">
        <v>461</v>
      </c>
      <c r="C58" s="124">
        <v>6.74</v>
      </c>
      <c r="D58" s="124">
        <v>2.27</v>
      </c>
      <c r="E58" s="124">
        <v>2.8</v>
      </c>
      <c r="F58" s="124">
        <v>217.92</v>
      </c>
      <c r="G58" s="124"/>
      <c r="H58" s="124"/>
      <c r="I58" s="124"/>
      <c r="J58" s="124"/>
      <c r="K58" s="124"/>
      <c r="L58" s="124"/>
      <c r="M58" s="124"/>
      <c r="N58" s="124"/>
      <c r="O58" s="124"/>
    </row>
    <row r="59" spans="1:15" ht="12.75">
      <c r="A59" s="355"/>
      <c r="B59" s="355"/>
      <c r="C59" s="355"/>
      <c r="D59" s="355"/>
      <c r="E59" s="355"/>
      <c r="F59" s="355"/>
      <c r="G59" s="355"/>
      <c r="H59" s="355"/>
      <c r="I59" s="355"/>
      <c r="J59" s="355"/>
      <c r="K59" s="355"/>
      <c r="L59" s="355"/>
      <c r="M59" s="355"/>
      <c r="N59" s="355"/>
      <c r="O59" s="355"/>
    </row>
    <row r="60" spans="1:15" ht="12.75">
      <c r="A60" s="355"/>
      <c r="B60" s="355"/>
      <c r="C60" s="355"/>
      <c r="D60" s="355"/>
      <c r="E60" s="355"/>
      <c r="F60" s="355"/>
      <c r="G60" s="355"/>
      <c r="H60" s="355"/>
      <c r="I60" s="355"/>
      <c r="J60" s="355"/>
      <c r="K60" s="355"/>
      <c r="L60" s="355"/>
      <c r="M60" s="355"/>
      <c r="N60" s="355"/>
      <c r="O60" s="355"/>
    </row>
    <row r="61" spans="1:15" ht="18">
      <c r="A61" s="356" t="s">
        <v>482</v>
      </c>
      <c r="B61" s="356"/>
      <c r="C61" s="356"/>
      <c r="D61" s="356"/>
      <c r="E61" s="356"/>
      <c r="F61" s="356"/>
      <c r="G61" s="356"/>
      <c r="H61" s="356"/>
      <c r="I61" s="356"/>
      <c r="J61" s="356"/>
      <c r="K61" s="356"/>
      <c r="L61" s="356"/>
      <c r="M61" s="356"/>
      <c r="N61" s="356"/>
      <c r="O61" s="356"/>
    </row>
    <row r="62" spans="1:15" ht="18">
      <c r="A62" s="272"/>
      <c r="B62" s="273"/>
      <c r="C62" s="273"/>
      <c r="D62" s="273"/>
      <c r="E62" s="273"/>
      <c r="F62" s="273"/>
      <c r="G62" s="273"/>
      <c r="H62" s="273"/>
      <c r="I62" s="273" t="s">
        <v>481</v>
      </c>
      <c r="J62" s="273"/>
      <c r="K62" s="273"/>
      <c r="L62" s="273"/>
      <c r="M62" s="273"/>
      <c r="N62" s="273"/>
      <c r="O62" s="274"/>
    </row>
    <row r="63" spans="1:15" s="119" customFormat="1" ht="23.25" customHeight="1">
      <c r="A63" s="357" t="s">
        <v>480</v>
      </c>
      <c r="B63" s="358"/>
      <c r="C63" s="358"/>
      <c r="D63" s="358"/>
      <c r="E63" s="358"/>
      <c r="F63" s="358"/>
      <c r="G63" s="358"/>
      <c r="H63" s="358"/>
      <c r="I63" s="358"/>
      <c r="J63" s="358"/>
      <c r="K63" s="358"/>
      <c r="L63" s="358"/>
      <c r="M63" s="358"/>
      <c r="N63" s="358"/>
      <c r="O63" s="358"/>
    </row>
    <row r="64" spans="1:15" s="119" customFormat="1" ht="23.25" customHeight="1">
      <c r="A64" s="359" t="s">
        <v>479</v>
      </c>
      <c r="B64" s="360"/>
      <c r="C64" s="360"/>
      <c r="D64" s="360"/>
      <c r="E64" s="360"/>
      <c r="F64" s="360"/>
      <c r="G64" s="360"/>
      <c r="H64" s="360"/>
      <c r="I64" s="360"/>
      <c r="J64" s="360"/>
      <c r="K64" s="360"/>
      <c r="L64" s="360"/>
      <c r="M64" s="360"/>
      <c r="N64" s="360"/>
      <c r="O64" s="360"/>
    </row>
    <row r="65" spans="1:15" s="119" customFormat="1" ht="20.25" customHeight="1">
      <c r="A65" s="361" t="s">
        <v>478</v>
      </c>
      <c r="B65" s="361"/>
      <c r="C65" s="361"/>
      <c r="D65" s="361"/>
      <c r="E65" s="361"/>
      <c r="F65" s="361"/>
      <c r="G65" s="361"/>
      <c r="H65" s="361"/>
      <c r="I65" s="361"/>
      <c r="J65" s="361"/>
      <c r="K65" s="361"/>
      <c r="L65" s="361"/>
      <c r="M65" s="361"/>
      <c r="N65" s="361"/>
      <c r="O65" s="361"/>
    </row>
    <row r="66" spans="1:15" s="119" customFormat="1" ht="19.5" customHeight="1">
      <c r="A66" s="260"/>
      <c r="B66" s="122" t="s">
        <v>477</v>
      </c>
      <c r="C66" s="354"/>
      <c r="D66" s="354"/>
      <c r="E66" s="354"/>
      <c r="F66" s="354"/>
      <c r="G66" s="354"/>
      <c r="H66" s="354"/>
      <c r="I66" s="354"/>
      <c r="J66" s="354"/>
      <c r="K66" s="354"/>
      <c r="L66" s="354"/>
      <c r="M66" s="354"/>
      <c r="N66" s="354"/>
      <c r="O66" s="354"/>
    </row>
    <row r="67" spans="1:15" s="119" customFormat="1" ht="19.5" customHeight="1">
      <c r="A67" s="260"/>
      <c r="B67" s="122" t="s">
        <v>476</v>
      </c>
      <c r="C67" s="354"/>
      <c r="D67" s="354"/>
      <c r="E67" s="354"/>
      <c r="F67" s="354"/>
      <c r="G67" s="354"/>
      <c r="H67" s="354"/>
      <c r="I67" s="354"/>
      <c r="J67" s="354"/>
      <c r="K67" s="354"/>
      <c r="L67" s="354"/>
      <c r="M67" s="354"/>
      <c r="N67" s="354"/>
      <c r="O67" s="354"/>
    </row>
    <row r="68" spans="1:15" s="119" customFormat="1" ht="19.5" customHeight="1">
      <c r="A68" s="260"/>
      <c r="B68" s="122" t="s">
        <v>475</v>
      </c>
      <c r="C68" s="354"/>
      <c r="D68" s="354"/>
      <c r="E68" s="354"/>
      <c r="F68" s="354"/>
      <c r="G68" s="354"/>
      <c r="H68" s="354"/>
      <c r="I68" s="354"/>
      <c r="J68" s="354"/>
      <c r="K68" s="354"/>
      <c r="L68" s="354"/>
      <c r="M68" s="354"/>
      <c r="N68" s="354"/>
      <c r="O68" s="354"/>
    </row>
    <row r="69" spans="1:15" s="119" customFormat="1" ht="19.5" customHeight="1">
      <c r="A69" s="260"/>
      <c r="B69" s="122" t="s">
        <v>474</v>
      </c>
      <c r="C69" s="354"/>
      <c r="D69" s="354"/>
      <c r="E69" s="354"/>
      <c r="F69" s="354"/>
      <c r="G69" s="354"/>
      <c r="H69" s="354"/>
      <c r="I69" s="354"/>
      <c r="J69" s="354"/>
      <c r="K69" s="354"/>
      <c r="L69" s="354"/>
      <c r="M69" s="354"/>
      <c r="N69" s="354"/>
      <c r="O69" s="354"/>
    </row>
    <row r="70" spans="1:15" s="119" customFormat="1" ht="18" customHeight="1">
      <c r="A70" s="260"/>
      <c r="B70" s="261"/>
      <c r="C70" s="362" t="s">
        <v>345</v>
      </c>
      <c r="D70" s="362"/>
      <c r="E70" s="362"/>
      <c r="F70" s="362"/>
      <c r="G70" s="362"/>
      <c r="H70" s="362"/>
      <c r="I70" s="362"/>
      <c r="J70" s="362"/>
      <c r="K70" s="362"/>
      <c r="L70" s="362"/>
      <c r="M70" s="362"/>
      <c r="N70" s="362"/>
      <c r="O70" s="362"/>
    </row>
    <row r="71" spans="1:15" s="119" customFormat="1" ht="18" customHeight="1">
      <c r="A71" s="262" t="s">
        <v>473</v>
      </c>
      <c r="B71" s="261" t="s">
        <v>472</v>
      </c>
      <c r="C71" s="121" t="s">
        <v>36</v>
      </c>
      <c r="D71" s="121" t="s">
        <v>35</v>
      </c>
      <c r="E71" s="121" t="s">
        <v>34</v>
      </c>
      <c r="F71" s="121" t="s">
        <v>33</v>
      </c>
      <c r="G71" s="121" t="s">
        <v>32</v>
      </c>
      <c r="H71" s="121" t="s">
        <v>31</v>
      </c>
      <c r="I71" s="121" t="s">
        <v>30</v>
      </c>
      <c r="J71" s="121" t="s">
        <v>29</v>
      </c>
      <c r="K71" s="121" t="s">
        <v>28</v>
      </c>
      <c r="L71" s="121" t="s">
        <v>27</v>
      </c>
      <c r="M71" s="121" t="s">
        <v>26</v>
      </c>
      <c r="N71" s="121" t="s">
        <v>25</v>
      </c>
      <c r="O71" s="121" t="s">
        <v>24</v>
      </c>
    </row>
    <row r="72" spans="1:15" s="119" customFormat="1" ht="24.75" customHeight="1">
      <c r="A72" s="262" t="s">
        <v>23</v>
      </c>
      <c r="B72" s="261" t="s">
        <v>451</v>
      </c>
      <c r="C72" s="125">
        <f aca="true" t="shared" si="2" ref="C72:O72">C73+C74</f>
        <v>167.03000000000003</v>
      </c>
      <c r="D72" s="125">
        <f t="shared" si="2"/>
        <v>216.06000000000003</v>
      </c>
      <c r="E72" s="125">
        <f t="shared" si="2"/>
        <v>423.81</v>
      </c>
      <c r="F72" s="125">
        <f t="shared" si="2"/>
        <v>254.29000000000005</v>
      </c>
      <c r="G72" s="125">
        <f t="shared" si="2"/>
        <v>324.65999999999997</v>
      </c>
      <c r="H72" s="125">
        <f t="shared" si="2"/>
        <v>385.1700000000001</v>
      </c>
      <c r="I72" s="125">
        <f t="shared" si="2"/>
        <v>420.03000000000003</v>
      </c>
      <c r="J72" s="125">
        <f t="shared" si="2"/>
        <v>462.0330000000001</v>
      </c>
      <c r="K72" s="125">
        <f t="shared" si="2"/>
        <v>508.2363</v>
      </c>
      <c r="L72" s="125">
        <f t="shared" si="2"/>
        <v>559.0599300000001</v>
      </c>
      <c r="M72" s="125">
        <f t="shared" si="2"/>
        <v>614.9659230000001</v>
      </c>
      <c r="N72" s="125">
        <f t="shared" si="2"/>
        <v>676.4625153000001</v>
      </c>
      <c r="O72" s="125">
        <f t="shared" si="2"/>
        <v>744.1087668300001</v>
      </c>
    </row>
    <row r="73" spans="1:15" s="119" customFormat="1" ht="24.75" customHeight="1">
      <c r="A73" s="260" t="s">
        <v>16</v>
      </c>
      <c r="B73" s="263" t="s">
        <v>448</v>
      </c>
      <c r="C73" s="120">
        <v>122.94000000000003</v>
      </c>
      <c r="D73" s="120">
        <v>172.25000000000003</v>
      </c>
      <c r="E73" s="120">
        <v>233.24</v>
      </c>
      <c r="F73" s="120">
        <v>201.97000000000006</v>
      </c>
      <c r="G73" s="120">
        <v>225.36999999999995</v>
      </c>
      <c r="H73" s="120">
        <v>297.24000000000007</v>
      </c>
      <c r="I73" s="120">
        <v>319.31000000000006</v>
      </c>
      <c r="J73" s="120">
        <v>351.2410000000001</v>
      </c>
      <c r="K73" s="120">
        <v>386.3651</v>
      </c>
      <c r="L73" s="120">
        <v>425.0016100000001</v>
      </c>
      <c r="M73" s="120">
        <v>467.5017710000001</v>
      </c>
      <c r="N73" s="120">
        <v>514.2519480999999</v>
      </c>
      <c r="O73" s="120">
        <v>565.67714291</v>
      </c>
    </row>
    <row r="74" spans="1:15" s="119" customFormat="1" ht="24.75" customHeight="1">
      <c r="A74" s="260" t="s">
        <v>14</v>
      </c>
      <c r="B74" s="263" t="s">
        <v>447</v>
      </c>
      <c r="C74" s="120">
        <v>44.09</v>
      </c>
      <c r="D74" s="120">
        <v>43.81</v>
      </c>
      <c r="E74" s="120">
        <v>190.57</v>
      </c>
      <c r="F74" s="120">
        <v>52.31999999999999</v>
      </c>
      <c r="G74" s="120">
        <v>99.29000000000002</v>
      </c>
      <c r="H74" s="120">
        <v>87.93</v>
      </c>
      <c r="I74" s="120">
        <v>100.71999999999997</v>
      </c>
      <c r="J74" s="120">
        <v>110.79199999999997</v>
      </c>
      <c r="K74" s="120">
        <v>121.87120000000004</v>
      </c>
      <c r="L74" s="120">
        <v>134.05832000000004</v>
      </c>
      <c r="M74" s="120">
        <v>147.464152</v>
      </c>
      <c r="N74" s="120">
        <v>162.21056720000013</v>
      </c>
      <c r="O74" s="120">
        <v>178.4316239200001</v>
      </c>
    </row>
    <row r="75" spans="1:15" s="119" customFormat="1" ht="24.75" customHeight="1">
      <c r="A75" s="262" t="s">
        <v>18</v>
      </c>
      <c r="B75" s="265" t="s">
        <v>450</v>
      </c>
      <c r="C75" s="120"/>
      <c r="D75" s="120"/>
      <c r="E75" s="120"/>
      <c r="F75" s="120"/>
      <c r="G75" s="120"/>
      <c r="H75" s="120"/>
      <c r="I75" s="120"/>
      <c r="J75" s="120"/>
      <c r="K75" s="120"/>
      <c r="L75" s="120"/>
      <c r="M75" s="120"/>
      <c r="N75" s="120"/>
      <c r="O75" s="120"/>
    </row>
    <row r="76" spans="1:15" s="119" customFormat="1" ht="24.75" customHeight="1">
      <c r="A76" s="260" t="s">
        <v>16</v>
      </c>
      <c r="B76" s="263" t="s">
        <v>446</v>
      </c>
      <c r="C76" s="120"/>
      <c r="D76" s="120"/>
      <c r="E76" s="120"/>
      <c r="F76" s="120"/>
      <c r="G76" s="120"/>
      <c r="H76" s="120"/>
      <c r="I76" s="120"/>
      <c r="J76" s="120"/>
      <c r="K76" s="120"/>
      <c r="L76" s="120"/>
      <c r="M76" s="120"/>
      <c r="N76" s="120"/>
      <c r="O76" s="120"/>
    </row>
    <row r="77" spans="1:15" s="119" customFormat="1" ht="24.75" customHeight="1">
      <c r="A77" s="269"/>
      <c r="B77" s="270" t="s">
        <v>471</v>
      </c>
      <c r="C77" s="120">
        <v>32.81</v>
      </c>
      <c r="D77" s="120">
        <v>7.09</v>
      </c>
      <c r="E77" s="120">
        <v>27.95</v>
      </c>
      <c r="F77" s="120">
        <v>19.11</v>
      </c>
      <c r="G77" s="120">
        <v>32.8</v>
      </c>
      <c r="H77" s="120">
        <v>33.86</v>
      </c>
      <c r="I77" s="120">
        <v>37.25</v>
      </c>
      <c r="J77" s="120">
        <v>40.975</v>
      </c>
      <c r="K77" s="120">
        <v>45.072500000000005</v>
      </c>
      <c r="L77" s="120">
        <v>49.57975000000001</v>
      </c>
      <c r="M77" s="120">
        <v>54.537725000000016</v>
      </c>
      <c r="N77" s="120">
        <v>59.99149750000002</v>
      </c>
      <c r="O77" s="120">
        <v>65.99064725000002</v>
      </c>
    </row>
    <row r="78" spans="1:15" s="119" customFormat="1" ht="24.75" customHeight="1">
      <c r="A78" s="269"/>
      <c r="B78" s="270" t="s">
        <v>470</v>
      </c>
      <c r="C78" s="120"/>
      <c r="D78" s="120"/>
      <c r="E78" s="120"/>
      <c r="F78" s="120"/>
      <c r="G78" s="120"/>
      <c r="H78" s="120"/>
      <c r="I78" s="120"/>
      <c r="J78" s="120"/>
      <c r="K78" s="120"/>
      <c r="L78" s="120"/>
      <c r="M78" s="120"/>
      <c r="N78" s="120"/>
      <c r="O78" s="120"/>
    </row>
    <row r="79" spans="1:15" s="119" customFormat="1" ht="24.75" customHeight="1">
      <c r="A79" s="269"/>
      <c r="B79" s="270" t="s">
        <v>469</v>
      </c>
      <c r="C79" s="120">
        <v>32.81</v>
      </c>
      <c r="D79" s="120">
        <v>7.09</v>
      </c>
      <c r="E79" s="120">
        <v>27.95</v>
      </c>
      <c r="F79" s="120">
        <v>19.11</v>
      </c>
      <c r="G79" s="120">
        <v>32.8</v>
      </c>
      <c r="H79" s="120">
        <v>33.86</v>
      </c>
      <c r="I79" s="120">
        <v>37.25</v>
      </c>
      <c r="J79" s="120">
        <v>40.975</v>
      </c>
      <c r="K79" s="120">
        <v>45.072500000000005</v>
      </c>
      <c r="L79" s="120">
        <v>49.57975000000001</v>
      </c>
      <c r="M79" s="120">
        <v>54.537725000000016</v>
      </c>
      <c r="N79" s="120">
        <v>59.99149750000002</v>
      </c>
      <c r="O79" s="120">
        <v>65.99064725000002</v>
      </c>
    </row>
    <row r="80" spans="1:15" s="119" customFormat="1" ht="24.75" customHeight="1">
      <c r="A80" s="269"/>
      <c r="B80" s="270" t="s">
        <v>468</v>
      </c>
      <c r="C80" s="120">
        <v>89.36000000000001</v>
      </c>
      <c r="D80" s="120">
        <v>113.53999999999999</v>
      </c>
      <c r="E80" s="120">
        <v>150.35999999999999</v>
      </c>
      <c r="F80" s="120">
        <v>98.45</v>
      </c>
      <c r="G80" s="120">
        <v>149.89</v>
      </c>
      <c r="H80" s="120">
        <v>142.73</v>
      </c>
      <c r="I80" s="120">
        <v>157.24</v>
      </c>
      <c r="J80" s="120">
        <v>172.964</v>
      </c>
      <c r="K80" s="120">
        <v>190.2604</v>
      </c>
      <c r="L80" s="120">
        <v>209.28644000000003</v>
      </c>
      <c r="M80" s="120">
        <v>230.21508400000002</v>
      </c>
      <c r="N80" s="120">
        <v>253.23659240000003</v>
      </c>
      <c r="O80" s="120">
        <v>278.56025164000005</v>
      </c>
    </row>
    <row r="81" spans="1:15" s="119" customFormat="1" ht="24.75" customHeight="1">
      <c r="A81" s="269" t="s">
        <v>14</v>
      </c>
      <c r="B81" s="271" t="s">
        <v>467</v>
      </c>
      <c r="C81" s="120"/>
      <c r="D81" s="120"/>
      <c r="E81" s="120"/>
      <c r="F81" s="120"/>
      <c r="G81" s="120"/>
      <c r="H81" s="120"/>
      <c r="I81" s="120"/>
      <c r="J81" s="120"/>
      <c r="K81" s="120"/>
      <c r="L81" s="120"/>
      <c r="M81" s="120"/>
      <c r="N81" s="120"/>
      <c r="O81" s="120"/>
    </row>
    <row r="82" spans="1:15" s="119" customFormat="1" ht="24.75" customHeight="1">
      <c r="A82" s="269"/>
      <c r="B82" s="271" t="s">
        <v>466</v>
      </c>
      <c r="C82" s="120">
        <v>3.02</v>
      </c>
      <c r="D82" s="120">
        <v>3.29</v>
      </c>
      <c r="E82" s="120">
        <v>4.05</v>
      </c>
      <c r="F82" s="120">
        <v>39.8</v>
      </c>
      <c r="G82" s="120">
        <v>127.45</v>
      </c>
      <c r="H82" s="120">
        <v>118.73</v>
      </c>
      <c r="I82" s="120">
        <v>189.1</v>
      </c>
      <c r="J82" s="120">
        <v>253.78</v>
      </c>
      <c r="K82" s="120"/>
      <c r="L82" s="120"/>
      <c r="M82" s="120"/>
      <c r="N82" s="120"/>
      <c r="O82" s="120"/>
    </row>
    <row r="83" spans="1:15" s="119" customFormat="1" ht="28.5">
      <c r="A83" s="269"/>
      <c r="B83" s="271" t="s">
        <v>465</v>
      </c>
      <c r="C83" s="120"/>
      <c r="D83" s="120"/>
      <c r="E83" s="120"/>
      <c r="F83" s="120"/>
      <c r="G83" s="120"/>
      <c r="H83" s="120"/>
      <c r="I83" s="120"/>
      <c r="J83" s="120"/>
      <c r="K83" s="120"/>
      <c r="L83" s="120"/>
      <c r="M83" s="120"/>
      <c r="N83" s="120"/>
      <c r="O83" s="120"/>
    </row>
    <row r="84" spans="1:15" s="119" customFormat="1" ht="24.75" customHeight="1">
      <c r="A84" s="269"/>
      <c r="B84" s="271" t="s">
        <v>464</v>
      </c>
      <c r="C84" s="120">
        <v>78.18</v>
      </c>
      <c r="D84" s="120">
        <v>93.06</v>
      </c>
      <c r="E84" s="120">
        <v>106.66</v>
      </c>
      <c r="F84" s="120">
        <v>37.09</v>
      </c>
      <c r="G84" s="120">
        <v>42.18</v>
      </c>
      <c r="H84" s="120">
        <v>48.82</v>
      </c>
      <c r="I84" s="120">
        <v>48.31</v>
      </c>
      <c r="J84" s="120">
        <v>74.15</v>
      </c>
      <c r="K84" s="120">
        <v>120.16</v>
      </c>
      <c r="L84" s="120">
        <v>131.44</v>
      </c>
      <c r="M84" s="120">
        <v>144.07</v>
      </c>
      <c r="N84" s="120">
        <v>158.21</v>
      </c>
      <c r="O84" s="120">
        <v>174.08</v>
      </c>
    </row>
    <row r="85" spans="1:15" s="119" customFormat="1" ht="30.75" customHeight="1">
      <c r="A85" s="269"/>
      <c r="B85" s="271" t="s">
        <v>463</v>
      </c>
      <c r="C85" s="120"/>
      <c r="D85" s="120"/>
      <c r="E85" s="120"/>
      <c r="F85" s="120"/>
      <c r="G85" s="120">
        <v>32.07</v>
      </c>
      <c r="H85" s="120">
        <v>31.6</v>
      </c>
      <c r="I85" s="120">
        <v>30.67</v>
      </c>
      <c r="J85" s="120">
        <v>29.15</v>
      </c>
      <c r="K85" s="120">
        <v>22.5</v>
      </c>
      <c r="L85" s="120">
        <v>24.61</v>
      </c>
      <c r="M85" s="120">
        <v>26.98</v>
      </c>
      <c r="N85" s="120">
        <v>29.63</v>
      </c>
      <c r="O85" s="120">
        <v>32.6</v>
      </c>
    </row>
    <row r="86" spans="1:15" s="119" customFormat="1" ht="30.75" customHeight="1">
      <c r="A86" s="269"/>
      <c r="B86" s="271" t="s">
        <v>462</v>
      </c>
      <c r="C86" s="120"/>
      <c r="D86" s="120"/>
      <c r="E86" s="120"/>
      <c r="F86" s="120"/>
      <c r="G86" s="120"/>
      <c r="H86" s="120"/>
      <c r="I86" s="120"/>
      <c r="J86" s="120"/>
      <c r="K86" s="120"/>
      <c r="L86" s="120"/>
      <c r="M86" s="120"/>
      <c r="N86" s="120"/>
      <c r="O86" s="268"/>
    </row>
    <row r="87" spans="1:15" s="119" customFormat="1" ht="24.75" customHeight="1">
      <c r="A87" s="269"/>
      <c r="B87" s="271" t="s">
        <v>461</v>
      </c>
      <c r="C87" s="120">
        <v>10.11</v>
      </c>
      <c r="D87" s="120">
        <v>1.87</v>
      </c>
      <c r="E87" s="120">
        <v>2.29</v>
      </c>
      <c r="F87" s="120">
        <v>199.82</v>
      </c>
      <c r="G87" s="120"/>
      <c r="H87" s="120"/>
      <c r="I87" s="120"/>
      <c r="J87" s="120"/>
      <c r="K87" s="120"/>
      <c r="L87" s="120"/>
      <c r="M87" s="120"/>
      <c r="N87" s="120"/>
      <c r="O87" s="120"/>
    </row>
    <row r="88" spans="1:15" ht="12.75">
      <c r="A88" s="355"/>
      <c r="B88" s="355"/>
      <c r="C88" s="355"/>
      <c r="D88" s="355"/>
      <c r="E88" s="355"/>
      <c r="F88" s="355"/>
      <c r="G88" s="355"/>
      <c r="H88" s="355"/>
      <c r="I88" s="355"/>
      <c r="J88" s="355"/>
      <c r="K88" s="355"/>
      <c r="L88" s="355"/>
      <c r="M88" s="355"/>
      <c r="N88" s="355"/>
      <c r="O88" s="355"/>
    </row>
    <row r="89" spans="1:15" ht="12.75">
      <c r="A89" s="355"/>
      <c r="B89" s="355"/>
      <c r="C89" s="355"/>
      <c r="D89" s="355"/>
      <c r="E89" s="355"/>
      <c r="F89" s="355"/>
      <c r="G89" s="355"/>
      <c r="H89" s="355"/>
      <c r="I89" s="355"/>
      <c r="J89" s="355"/>
      <c r="K89" s="355"/>
      <c r="L89" s="355"/>
      <c r="M89" s="355"/>
      <c r="N89" s="355"/>
      <c r="O89" s="355"/>
    </row>
  </sheetData>
  <sheetProtection/>
  <mergeCells count="33">
    <mergeCell ref="C38:O38"/>
    <mergeCell ref="A28:O28"/>
    <mergeCell ref="A29:O29"/>
    <mergeCell ref="C37:O37"/>
    <mergeCell ref="A32:O32"/>
    <mergeCell ref="A34:O34"/>
    <mergeCell ref="A35:O35"/>
    <mergeCell ref="A36:O36"/>
    <mergeCell ref="C7:O7"/>
    <mergeCell ref="C8:O8"/>
    <mergeCell ref="C9:O9"/>
    <mergeCell ref="C10:O10"/>
    <mergeCell ref="A1:O1"/>
    <mergeCell ref="A3:O3"/>
    <mergeCell ref="A4:O4"/>
    <mergeCell ref="A5:O5"/>
    <mergeCell ref="C6:O6"/>
    <mergeCell ref="C40:O40"/>
    <mergeCell ref="C39:O39"/>
    <mergeCell ref="C41:O41"/>
    <mergeCell ref="A59:O59"/>
    <mergeCell ref="C66:O66"/>
    <mergeCell ref="A60:O60"/>
    <mergeCell ref="C68:O68"/>
    <mergeCell ref="A89:O89"/>
    <mergeCell ref="A61:O61"/>
    <mergeCell ref="A63:O63"/>
    <mergeCell ref="A64:O64"/>
    <mergeCell ref="A65:O65"/>
    <mergeCell ref="C69:O69"/>
    <mergeCell ref="C70:O70"/>
    <mergeCell ref="A88:O88"/>
    <mergeCell ref="C67:O67"/>
  </mergeCells>
  <printOptions horizontalCentered="1"/>
  <pageMargins left="0.236220472440945" right="0.15748031496063" top="0.47244094488189" bottom="0.28" header="0.511811023622047" footer="0.43"/>
  <pageSetup firstPageNumber="119" useFirstPageNumber="1" horizontalDpi="600" verticalDpi="600" orientation="landscape" paperSize="9" scale="60" r:id="rId1"/>
  <headerFooter alignWithMargins="0">
    <oddFooter>&amp;C&amp;P</oddFooter>
  </headerFooter>
  <rowBreaks count="2" manualBreakCount="2">
    <brk id="31" max="255" man="1"/>
    <brk id="60" max="255" man="1"/>
  </rowBreaks>
</worksheet>
</file>

<file path=xl/worksheets/sheet21.xml><?xml version="1.0" encoding="utf-8"?>
<worksheet xmlns="http://schemas.openxmlformats.org/spreadsheetml/2006/main" xmlns:r="http://schemas.openxmlformats.org/officeDocument/2006/relationships">
  <dimension ref="A1:Q73"/>
  <sheetViews>
    <sheetView zoomScalePageLayoutView="0" workbookViewId="0" topLeftCell="A1">
      <selection activeCell="C57" sqref="C57"/>
    </sheetView>
  </sheetViews>
  <sheetFormatPr defaultColWidth="9.140625" defaultRowHeight="15"/>
  <cols>
    <col min="1" max="1" width="2.8515625" style="0" customWidth="1"/>
    <col min="2" max="2" width="20.8515625" style="0" customWidth="1"/>
    <col min="3" max="10" width="7.8515625" style="0" customWidth="1"/>
    <col min="11" max="17" width="8.00390625" style="0" customWidth="1"/>
  </cols>
  <sheetData>
    <row r="1" ht="18.75">
      <c r="O1" s="143" t="s">
        <v>516</v>
      </c>
    </row>
    <row r="2" spans="1:17" ht="18.75">
      <c r="A2" s="275" t="s">
        <v>509</v>
      </c>
      <c r="B2" s="275"/>
      <c r="C2" s="275"/>
      <c r="D2" s="275"/>
      <c r="E2" s="275"/>
      <c r="F2" s="275"/>
      <c r="G2" s="275"/>
      <c r="H2" s="275"/>
      <c r="I2" s="275"/>
      <c r="J2" s="275"/>
      <c r="K2" s="275"/>
      <c r="L2" s="275"/>
      <c r="M2" s="275"/>
      <c r="N2" s="275"/>
      <c r="O2" s="275"/>
      <c r="P2" s="275"/>
      <c r="Q2" s="275"/>
    </row>
    <row r="3" spans="1:17" ht="15">
      <c r="A3" s="372"/>
      <c r="B3" s="372"/>
      <c r="C3" s="372"/>
      <c r="D3" s="372"/>
      <c r="E3" s="372"/>
      <c r="F3" s="372"/>
      <c r="G3" s="372"/>
      <c r="H3" s="372"/>
      <c r="I3" s="372"/>
      <c r="J3" s="372"/>
      <c r="K3" s="47"/>
      <c r="L3" s="47"/>
      <c r="M3" s="47"/>
      <c r="N3" s="47"/>
      <c r="O3" s="47"/>
      <c r="P3" s="47"/>
      <c r="Q3" s="47"/>
    </row>
    <row r="4" spans="1:17" ht="18.75">
      <c r="A4" s="369" t="s">
        <v>515</v>
      </c>
      <c r="B4" s="369"/>
      <c r="C4" s="369"/>
      <c r="D4" s="369"/>
      <c r="E4" s="369"/>
      <c r="F4" s="369"/>
      <c r="G4" s="369"/>
      <c r="H4" s="369"/>
      <c r="I4" s="369"/>
      <c r="J4" s="369"/>
      <c r="K4" s="369"/>
      <c r="L4" s="369"/>
      <c r="M4" s="369"/>
      <c r="N4" s="369"/>
      <c r="O4" s="369"/>
      <c r="P4" s="369"/>
      <c r="Q4" s="369"/>
    </row>
    <row r="5" spans="1:17" ht="18.75">
      <c r="A5" s="369"/>
      <c r="B5" s="369"/>
      <c r="C5" s="369"/>
      <c r="D5" s="369"/>
      <c r="E5" s="369"/>
      <c r="F5" s="369"/>
      <c r="G5" s="369"/>
      <c r="H5" s="369"/>
      <c r="I5" s="369"/>
      <c r="J5" s="369"/>
      <c r="K5" s="369"/>
      <c r="L5" s="369"/>
      <c r="M5" s="369"/>
      <c r="N5" s="369"/>
      <c r="O5" s="369"/>
      <c r="P5" s="369"/>
      <c r="Q5" s="369"/>
    </row>
    <row r="6" spans="1:17" s="141" customFormat="1" ht="24.75" customHeight="1">
      <c r="A6" s="129"/>
      <c r="B6" s="129"/>
      <c r="C6" s="370" t="s">
        <v>481</v>
      </c>
      <c r="D6" s="370"/>
      <c r="E6" s="370"/>
      <c r="F6" s="370"/>
      <c r="G6" s="370"/>
      <c r="H6" s="370"/>
      <c r="I6" s="370"/>
      <c r="J6" s="370"/>
      <c r="K6" s="371" t="s">
        <v>507</v>
      </c>
      <c r="L6" s="371"/>
      <c r="M6" s="371"/>
      <c r="N6" s="371"/>
      <c r="O6" s="371"/>
      <c r="P6" s="371"/>
      <c r="Q6" s="371"/>
    </row>
    <row r="7" spans="1:17" s="137" customFormat="1" ht="48.75" customHeight="1">
      <c r="A7" s="140" t="s">
        <v>38</v>
      </c>
      <c r="B7" s="140" t="s">
        <v>506</v>
      </c>
      <c r="C7" s="139" t="s">
        <v>77</v>
      </c>
      <c r="D7" s="139" t="s">
        <v>76</v>
      </c>
      <c r="E7" s="139" t="s">
        <v>36</v>
      </c>
      <c r="F7" s="138" t="s">
        <v>35</v>
      </c>
      <c r="G7" s="138" t="s">
        <v>34</v>
      </c>
      <c r="H7" s="138" t="s">
        <v>33</v>
      </c>
      <c r="I7" s="138" t="s">
        <v>32</v>
      </c>
      <c r="J7" s="138" t="s">
        <v>31</v>
      </c>
      <c r="K7" s="138" t="s">
        <v>30</v>
      </c>
      <c r="L7" s="138" t="s">
        <v>29</v>
      </c>
      <c r="M7" s="138" t="s">
        <v>28</v>
      </c>
      <c r="N7" s="138" t="s">
        <v>27</v>
      </c>
      <c r="O7" s="138" t="s">
        <v>26</v>
      </c>
      <c r="P7" s="138" t="s">
        <v>25</v>
      </c>
      <c r="Q7" s="138" t="s">
        <v>24</v>
      </c>
    </row>
    <row r="8" spans="1:17" ht="24" customHeight="1">
      <c r="A8" s="136" t="s">
        <v>16</v>
      </c>
      <c r="B8" s="135" t="s">
        <v>505</v>
      </c>
      <c r="C8" s="134"/>
      <c r="D8" s="134"/>
      <c r="E8" s="134"/>
      <c r="F8" s="133"/>
      <c r="G8" s="133"/>
      <c r="H8" s="133"/>
      <c r="I8" s="133"/>
      <c r="J8" s="133"/>
      <c r="K8" s="133"/>
      <c r="L8" s="133"/>
      <c r="M8" s="133"/>
      <c r="N8" s="133"/>
      <c r="O8" s="133"/>
      <c r="P8" s="133"/>
      <c r="Q8" s="133"/>
    </row>
    <row r="9" spans="1:17" ht="24" customHeight="1">
      <c r="A9" s="136"/>
      <c r="B9" s="129" t="s">
        <v>504</v>
      </c>
      <c r="C9" s="134"/>
      <c r="D9" s="134"/>
      <c r="E9" s="134"/>
      <c r="F9" s="133"/>
      <c r="G9" s="133"/>
      <c r="H9" s="133"/>
      <c r="I9" s="133"/>
      <c r="J9" s="133"/>
      <c r="K9" s="133"/>
      <c r="L9" s="133"/>
      <c r="M9" s="133"/>
      <c r="N9" s="133"/>
      <c r="O9" s="133"/>
      <c r="P9" s="133"/>
      <c r="Q9" s="133"/>
    </row>
    <row r="10" spans="1:17" ht="24" customHeight="1">
      <c r="A10" s="136"/>
      <c r="B10" s="129" t="s">
        <v>503</v>
      </c>
      <c r="C10" s="134"/>
      <c r="D10" s="134"/>
      <c r="E10" s="134"/>
      <c r="F10" s="133"/>
      <c r="G10" s="133"/>
      <c r="H10" s="133"/>
      <c r="I10" s="133"/>
      <c r="J10" s="133"/>
      <c r="K10" s="133"/>
      <c r="L10" s="133"/>
      <c r="M10" s="133"/>
      <c r="N10" s="133"/>
      <c r="O10" s="133"/>
      <c r="P10" s="133"/>
      <c r="Q10" s="133"/>
    </row>
    <row r="11" spans="1:17" ht="24" customHeight="1">
      <c r="A11" s="136"/>
      <c r="B11" s="129" t="s">
        <v>502</v>
      </c>
      <c r="C11" s="134"/>
      <c r="D11" s="134"/>
      <c r="E11" s="134"/>
      <c r="F11" s="133"/>
      <c r="G11" s="133"/>
      <c r="H11" s="133"/>
      <c r="I11" s="133"/>
      <c r="J11" s="133"/>
      <c r="K11" s="133"/>
      <c r="L11" s="133"/>
      <c r="M11" s="133"/>
      <c r="N11" s="133"/>
      <c r="O11" s="133"/>
      <c r="P11" s="133"/>
      <c r="Q11" s="133"/>
    </row>
    <row r="12" spans="1:17" ht="24" customHeight="1">
      <c r="A12" s="136"/>
      <c r="B12" s="129" t="s">
        <v>501</v>
      </c>
      <c r="C12" s="134"/>
      <c r="D12" s="134"/>
      <c r="E12" s="134"/>
      <c r="F12" s="133"/>
      <c r="G12" s="133"/>
      <c r="H12" s="133"/>
      <c r="I12" s="133"/>
      <c r="J12" s="133"/>
      <c r="K12" s="133"/>
      <c r="L12" s="133"/>
      <c r="M12" s="133"/>
      <c r="N12" s="133"/>
      <c r="O12" s="133"/>
      <c r="P12" s="133"/>
      <c r="Q12" s="133"/>
    </row>
    <row r="13" spans="1:17" ht="24" customHeight="1">
      <c r="A13" s="136"/>
      <c r="B13" s="129" t="s">
        <v>500</v>
      </c>
      <c r="C13" s="134"/>
      <c r="D13" s="134"/>
      <c r="E13" s="134"/>
      <c r="F13" s="133"/>
      <c r="G13" s="133"/>
      <c r="H13" s="133"/>
      <c r="I13" s="133"/>
      <c r="J13" s="133"/>
      <c r="K13" s="133"/>
      <c r="L13" s="133"/>
      <c r="M13" s="133"/>
      <c r="N13" s="133"/>
      <c r="O13" s="133"/>
      <c r="P13" s="133"/>
      <c r="Q13" s="133"/>
    </row>
    <row r="14" spans="1:17" ht="24" customHeight="1">
      <c r="A14" s="136"/>
      <c r="B14" s="136" t="s">
        <v>499</v>
      </c>
      <c r="C14" s="134"/>
      <c r="D14" s="134"/>
      <c r="E14" s="134"/>
      <c r="F14" s="133"/>
      <c r="G14" s="133"/>
      <c r="H14" s="133"/>
      <c r="I14" s="133"/>
      <c r="J14" s="133"/>
      <c r="K14" s="133"/>
      <c r="L14" s="133"/>
      <c r="M14" s="133"/>
      <c r="N14" s="133"/>
      <c r="O14" s="133"/>
      <c r="P14" s="133"/>
      <c r="Q14" s="133"/>
    </row>
    <row r="15" spans="1:17" ht="24" customHeight="1">
      <c r="A15" s="136" t="s">
        <v>14</v>
      </c>
      <c r="B15" s="135" t="s">
        <v>498</v>
      </c>
      <c r="C15" s="134"/>
      <c r="D15" s="134"/>
      <c r="E15" s="134"/>
      <c r="F15" s="133"/>
      <c r="G15" s="133"/>
      <c r="H15" s="133"/>
      <c r="I15" s="133"/>
      <c r="J15" s="133"/>
      <c r="K15" s="133"/>
      <c r="L15" s="133"/>
      <c r="M15" s="133"/>
      <c r="N15" s="133"/>
      <c r="O15" s="133"/>
      <c r="P15" s="133"/>
      <c r="Q15" s="133"/>
    </row>
    <row r="16" spans="1:17" ht="24" customHeight="1">
      <c r="A16" s="131">
        <v>1</v>
      </c>
      <c r="B16" s="129" t="s">
        <v>497</v>
      </c>
      <c r="C16" s="130"/>
      <c r="D16" s="130"/>
      <c r="E16" s="130"/>
      <c r="F16" s="130"/>
      <c r="G16" s="130"/>
      <c r="H16" s="130"/>
      <c r="I16" s="130"/>
      <c r="J16" s="130"/>
      <c r="K16" s="130"/>
      <c r="L16" s="130"/>
      <c r="M16" s="130"/>
      <c r="N16" s="130"/>
      <c r="O16" s="130"/>
      <c r="P16" s="130"/>
      <c r="Q16" s="130"/>
    </row>
    <row r="17" spans="1:17" ht="24" customHeight="1">
      <c r="A17" s="131">
        <v>2</v>
      </c>
      <c r="B17" s="129" t="s">
        <v>496</v>
      </c>
      <c r="C17" s="130"/>
      <c r="D17" s="130"/>
      <c r="E17" s="130"/>
      <c r="F17" s="130"/>
      <c r="G17" s="130"/>
      <c r="H17" s="130"/>
      <c r="I17" s="130"/>
      <c r="J17" s="130"/>
      <c r="K17" s="130"/>
      <c r="L17" s="130"/>
      <c r="M17" s="130"/>
      <c r="N17" s="130"/>
      <c r="O17" s="130"/>
      <c r="P17" s="130"/>
      <c r="Q17" s="130"/>
    </row>
    <row r="18" spans="1:17" ht="24" customHeight="1">
      <c r="A18" s="131">
        <v>3</v>
      </c>
      <c r="B18" s="129" t="s">
        <v>495</v>
      </c>
      <c r="C18" s="130"/>
      <c r="D18" s="130"/>
      <c r="E18" s="130"/>
      <c r="F18" s="130"/>
      <c r="G18" s="130"/>
      <c r="H18" s="130"/>
      <c r="I18" s="130"/>
      <c r="J18" s="130"/>
      <c r="K18" s="130"/>
      <c r="L18" s="130"/>
      <c r="M18" s="130"/>
      <c r="N18" s="130"/>
      <c r="O18" s="130"/>
      <c r="P18" s="130"/>
      <c r="Q18" s="130"/>
    </row>
    <row r="19" spans="1:17" ht="29.25" customHeight="1">
      <c r="A19" s="131">
        <v>4</v>
      </c>
      <c r="B19" s="132" t="s">
        <v>514</v>
      </c>
      <c r="C19" s="145">
        <v>0.7</v>
      </c>
      <c r="D19" s="144">
        <v>1.2</v>
      </c>
      <c r="E19" s="130">
        <v>0</v>
      </c>
      <c r="F19" s="130">
        <v>0</v>
      </c>
      <c r="G19" s="130">
        <v>0</v>
      </c>
      <c r="H19" s="130">
        <v>0</v>
      </c>
      <c r="I19" s="130">
        <v>0</v>
      </c>
      <c r="J19" s="130">
        <v>0</v>
      </c>
      <c r="K19" s="130"/>
      <c r="L19" s="130"/>
      <c r="M19" s="130"/>
      <c r="N19" s="130"/>
      <c r="O19" s="130"/>
      <c r="P19" s="130"/>
      <c r="Q19" s="130"/>
    </row>
    <row r="20" spans="1:17" ht="24" customHeight="1">
      <c r="A20" s="131">
        <v>5</v>
      </c>
      <c r="B20" s="129" t="s">
        <v>493</v>
      </c>
      <c r="D20" s="130"/>
      <c r="E20" s="130"/>
      <c r="F20" s="130"/>
      <c r="G20" s="130"/>
      <c r="H20" s="130"/>
      <c r="I20" s="130"/>
      <c r="J20" s="130"/>
      <c r="K20" s="130"/>
      <c r="L20" s="130"/>
      <c r="M20" s="130"/>
      <c r="N20" s="130"/>
      <c r="O20" s="130"/>
      <c r="P20" s="130"/>
      <c r="Q20" s="130"/>
    </row>
    <row r="21" spans="1:17" ht="24" customHeight="1">
      <c r="A21" s="129"/>
      <c r="B21" s="128" t="s">
        <v>492</v>
      </c>
      <c r="C21" s="50">
        <f aca="true" t="shared" si="0" ref="C21:J21">SUM(C19:C20)</f>
        <v>0.7</v>
      </c>
      <c r="D21" s="50">
        <f t="shared" si="0"/>
        <v>1.2</v>
      </c>
      <c r="E21" s="50">
        <f t="shared" si="0"/>
        <v>0</v>
      </c>
      <c r="F21" s="50">
        <f t="shared" si="0"/>
        <v>0</v>
      </c>
      <c r="G21" s="50">
        <f t="shared" si="0"/>
        <v>0</v>
      </c>
      <c r="H21" s="50">
        <f t="shared" si="0"/>
        <v>0</v>
      </c>
      <c r="I21" s="50">
        <f t="shared" si="0"/>
        <v>0</v>
      </c>
      <c r="J21" s="50">
        <f t="shared" si="0"/>
        <v>0</v>
      </c>
      <c r="K21" s="50"/>
      <c r="L21" s="50"/>
      <c r="M21" s="50"/>
      <c r="N21" s="50"/>
      <c r="O21" s="50"/>
      <c r="P21" s="50"/>
      <c r="Q21" s="50"/>
    </row>
    <row r="22" ht="15">
      <c r="A22" s="127"/>
    </row>
    <row r="23" ht="15">
      <c r="B23" s="126"/>
    </row>
    <row r="24" ht="15">
      <c r="B24" s="126"/>
    </row>
    <row r="25" ht="15">
      <c r="B25" s="126"/>
    </row>
    <row r="26" ht="18.75">
      <c r="O26" s="143" t="s">
        <v>513</v>
      </c>
    </row>
    <row r="27" spans="1:17" ht="18.75">
      <c r="A27" s="142" t="s">
        <v>512</v>
      </c>
      <c r="B27" s="142"/>
      <c r="C27" s="142"/>
      <c r="D27" s="142"/>
      <c r="E27" s="142"/>
      <c r="F27" s="142"/>
      <c r="G27" s="142"/>
      <c r="H27" s="142"/>
      <c r="I27" s="142"/>
      <c r="J27" s="142"/>
      <c r="K27" s="142"/>
      <c r="L27" s="142"/>
      <c r="M27" s="142"/>
      <c r="N27" s="142"/>
      <c r="O27" s="142"/>
      <c r="P27" s="142"/>
      <c r="Q27" s="142"/>
    </row>
    <row r="28" spans="1:17" ht="15">
      <c r="A28" s="372"/>
      <c r="B28" s="372"/>
      <c r="C28" s="372"/>
      <c r="D28" s="372"/>
      <c r="E28" s="372"/>
      <c r="F28" s="372"/>
      <c r="G28" s="372"/>
      <c r="H28" s="372"/>
      <c r="I28" s="372"/>
      <c r="J28" s="372"/>
      <c r="K28" s="47"/>
      <c r="L28" s="47"/>
      <c r="M28" s="47"/>
      <c r="N28" s="47"/>
      <c r="O28" s="47"/>
      <c r="P28" s="47"/>
      <c r="Q28" s="47"/>
    </row>
    <row r="29" spans="1:17" ht="18.75">
      <c r="A29" s="369" t="s">
        <v>511</v>
      </c>
      <c r="B29" s="369"/>
      <c r="C29" s="369"/>
      <c r="D29" s="369"/>
      <c r="E29" s="369"/>
      <c r="F29" s="369"/>
      <c r="G29" s="369"/>
      <c r="H29" s="369"/>
      <c r="I29" s="369"/>
      <c r="J29" s="369"/>
      <c r="K29" s="369"/>
      <c r="L29" s="369"/>
      <c r="M29" s="369"/>
      <c r="N29" s="369"/>
      <c r="O29" s="369"/>
      <c r="P29" s="369"/>
      <c r="Q29" s="369"/>
    </row>
    <row r="30" spans="1:17" ht="18.75">
      <c r="A30" s="369"/>
      <c r="B30" s="369"/>
      <c r="C30" s="369"/>
      <c r="D30" s="369"/>
      <c r="E30" s="369"/>
      <c r="F30" s="369"/>
      <c r="G30" s="369"/>
      <c r="H30" s="369"/>
      <c r="I30" s="369"/>
      <c r="J30" s="369"/>
      <c r="K30" s="369"/>
      <c r="L30" s="369"/>
      <c r="M30" s="369"/>
      <c r="N30" s="369"/>
      <c r="O30" s="369"/>
      <c r="P30" s="369"/>
      <c r="Q30" s="369"/>
    </row>
    <row r="31" spans="1:17" s="141" customFormat="1" ht="24.75" customHeight="1">
      <c r="A31" s="129"/>
      <c r="B31" s="129"/>
      <c r="C31" s="370" t="s">
        <v>481</v>
      </c>
      <c r="D31" s="370"/>
      <c r="E31" s="370"/>
      <c r="F31" s="370"/>
      <c r="G31" s="370"/>
      <c r="H31" s="370"/>
      <c r="I31" s="370"/>
      <c r="J31" s="370"/>
      <c r="K31" s="371" t="s">
        <v>507</v>
      </c>
      <c r="L31" s="371"/>
      <c r="M31" s="371"/>
      <c r="N31" s="371"/>
      <c r="O31" s="371"/>
      <c r="P31" s="371"/>
      <c r="Q31" s="371"/>
    </row>
    <row r="32" spans="1:17" s="137" customFormat="1" ht="48.75" customHeight="1">
      <c r="A32" s="140" t="s">
        <v>38</v>
      </c>
      <c r="B32" s="140" t="s">
        <v>506</v>
      </c>
      <c r="C32" s="139" t="s">
        <v>77</v>
      </c>
      <c r="D32" s="139" t="s">
        <v>76</v>
      </c>
      <c r="E32" s="139" t="s">
        <v>36</v>
      </c>
      <c r="F32" s="138" t="s">
        <v>35</v>
      </c>
      <c r="G32" s="138" t="s">
        <v>34</v>
      </c>
      <c r="H32" s="138" t="s">
        <v>33</v>
      </c>
      <c r="I32" s="138" t="s">
        <v>32</v>
      </c>
      <c r="J32" s="138" t="s">
        <v>31</v>
      </c>
      <c r="K32" s="138" t="s">
        <v>30</v>
      </c>
      <c r="L32" s="138" t="s">
        <v>29</v>
      </c>
      <c r="M32" s="138" t="s">
        <v>28</v>
      </c>
      <c r="N32" s="138" t="s">
        <v>27</v>
      </c>
      <c r="O32" s="138" t="s">
        <v>26</v>
      </c>
      <c r="P32" s="138" t="s">
        <v>25</v>
      </c>
      <c r="Q32" s="138" t="s">
        <v>24</v>
      </c>
    </row>
    <row r="33" spans="1:17" ht="24" customHeight="1">
      <c r="A33" s="136" t="s">
        <v>16</v>
      </c>
      <c r="B33" s="135" t="s">
        <v>505</v>
      </c>
      <c r="C33" s="134"/>
      <c r="D33" s="134"/>
      <c r="E33" s="134"/>
      <c r="F33" s="133"/>
      <c r="G33" s="133"/>
      <c r="H33" s="133"/>
      <c r="I33" s="133"/>
      <c r="J33" s="133"/>
      <c r="K33" s="133"/>
      <c r="L33" s="133"/>
      <c r="M33" s="133"/>
      <c r="N33" s="133"/>
      <c r="O33" s="133"/>
      <c r="P33" s="133"/>
      <c r="Q33" s="133"/>
    </row>
    <row r="34" spans="1:17" ht="24" customHeight="1">
      <c r="A34" s="136"/>
      <c r="B34" s="129" t="s">
        <v>504</v>
      </c>
      <c r="C34" s="134"/>
      <c r="D34" s="134"/>
      <c r="E34" s="134"/>
      <c r="F34" s="133"/>
      <c r="G34" s="133"/>
      <c r="H34" s="133"/>
      <c r="I34" s="133"/>
      <c r="J34" s="133"/>
      <c r="K34" s="133"/>
      <c r="L34" s="133"/>
      <c r="M34" s="133"/>
      <c r="N34" s="133"/>
      <c r="O34" s="133"/>
      <c r="P34" s="133"/>
      <c r="Q34" s="133"/>
    </row>
    <row r="35" spans="1:17" ht="24" customHeight="1">
      <c r="A35" s="136"/>
      <c r="B35" s="129" t="s">
        <v>503</v>
      </c>
      <c r="C35" s="134"/>
      <c r="D35" s="134"/>
      <c r="E35" s="134"/>
      <c r="F35" s="133"/>
      <c r="G35" s="133"/>
      <c r="H35" s="133"/>
      <c r="I35" s="133"/>
      <c r="J35" s="133"/>
      <c r="K35" s="133"/>
      <c r="L35" s="133"/>
      <c r="M35" s="133"/>
      <c r="N35" s="133"/>
      <c r="O35" s="133"/>
      <c r="P35" s="133"/>
      <c r="Q35" s="133"/>
    </row>
    <row r="36" spans="1:17" ht="24" customHeight="1">
      <c r="A36" s="136"/>
      <c r="B36" s="129" t="s">
        <v>502</v>
      </c>
      <c r="C36" s="134"/>
      <c r="D36" s="134"/>
      <c r="E36" s="134"/>
      <c r="F36" s="133"/>
      <c r="G36" s="133"/>
      <c r="H36" s="133"/>
      <c r="I36" s="133"/>
      <c r="J36" s="133"/>
      <c r="K36" s="133"/>
      <c r="L36" s="133"/>
      <c r="M36" s="133"/>
      <c r="N36" s="133"/>
      <c r="O36" s="133"/>
      <c r="P36" s="133"/>
      <c r="Q36" s="133"/>
    </row>
    <row r="37" spans="1:17" ht="24" customHeight="1">
      <c r="A37" s="136"/>
      <c r="B37" s="129" t="s">
        <v>501</v>
      </c>
      <c r="C37" s="134"/>
      <c r="D37" s="134"/>
      <c r="E37" s="134"/>
      <c r="F37" s="133"/>
      <c r="G37" s="133"/>
      <c r="H37" s="133"/>
      <c r="I37" s="133"/>
      <c r="J37" s="133"/>
      <c r="K37" s="133"/>
      <c r="L37" s="133"/>
      <c r="M37" s="133"/>
      <c r="N37" s="133"/>
      <c r="O37" s="133"/>
      <c r="P37" s="133"/>
      <c r="Q37" s="133"/>
    </row>
    <row r="38" spans="1:17" ht="24" customHeight="1">
      <c r="A38" s="136"/>
      <c r="B38" s="129" t="s">
        <v>500</v>
      </c>
      <c r="C38" s="134"/>
      <c r="D38" s="134"/>
      <c r="E38" s="134"/>
      <c r="F38" s="133"/>
      <c r="G38" s="133"/>
      <c r="H38" s="133"/>
      <c r="I38" s="133"/>
      <c r="J38" s="133"/>
      <c r="K38" s="133"/>
      <c r="L38" s="133"/>
      <c r="M38" s="133"/>
      <c r="N38" s="133"/>
      <c r="O38" s="133"/>
      <c r="P38" s="133"/>
      <c r="Q38" s="133"/>
    </row>
    <row r="39" spans="1:17" ht="24" customHeight="1">
      <c r="A39" s="136"/>
      <c r="B39" s="136" t="s">
        <v>499</v>
      </c>
      <c r="C39" s="134"/>
      <c r="D39" s="134"/>
      <c r="E39" s="134"/>
      <c r="F39" s="133"/>
      <c r="G39" s="133"/>
      <c r="H39" s="133"/>
      <c r="I39" s="133"/>
      <c r="J39" s="133"/>
      <c r="K39" s="133"/>
      <c r="L39" s="133"/>
      <c r="M39" s="133"/>
      <c r="N39" s="133"/>
      <c r="O39" s="133"/>
      <c r="P39" s="133"/>
      <c r="Q39" s="133"/>
    </row>
    <row r="40" spans="1:17" ht="24" customHeight="1">
      <c r="A40" s="136" t="s">
        <v>14</v>
      </c>
      <c r="B40" s="135" t="s">
        <v>498</v>
      </c>
      <c r="C40" s="134"/>
      <c r="D40" s="134"/>
      <c r="E40" s="134"/>
      <c r="F40" s="133"/>
      <c r="G40" s="133"/>
      <c r="H40" s="133"/>
      <c r="I40" s="133"/>
      <c r="J40" s="133"/>
      <c r="K40" s="133"/>
      <c r="L40" s="133"/>
      <c r="M40" s="133"/>
      <c r="N40" s="133"/>
      <c r="O40" s="133"/>
      <c r="P40" s="133"/>
      <c r="Q40" s="133"/>
    </row>
    <row r="41" spans="1:17" ht="24" customHeight="1">
      <c r="A41" s="131">
        <v>1</v>
      </c>
      <c r="B41" s="129" t="s">
        <v>497</v>
      </c>
      <c r="C41" s="33"/>
      <c r="D41" s="33"/>
      <c r="E41" s="33"/>
      <c r="F41" s="33"/>
      <c r="G41" s="33"/>
      <c r="H41" s="33"/>
      <c r="I41" s="33"/>
      <c r="J41" s="33"/>
      <c r="K41" s="33"/>
      <c r="L41" s="33"/>
      <c r="M41" s="33"/>
      <c r="N41" s="33"/>
      <c r="O41" s="33"/>
      <c r="P41" s="33"/>
      <c r="Q41" s="33"/>
    </row>
    <row r="42" spans="1:17" ht="24" customHeight="1">
      <c r="A42" s="131">
        <v>2</v>
      </c>
      <c r="B42" s="129" t="s">
        <v>496</v>
      </c>
      <c r="C42" s="33"/>
      <c r="D42" s="33"/>
      <c r="E42" s="33"/>
      <c r="F42" s="33"/>
      <c r="G42" s="33"/>
      <c r="H42" s="33"/>
      <c r="I42" s="33"/>
      <c r="J42" s="33"/>
      <c r="K42" s="33"/>
      <c r="L42" s="33"/>
      <c r="M42" s="33"/>
      <c r="N42" s="33"/>
      <c r="O42" s="33"/>
      <c r="P42" s="33"/>
      <c r="Q42" s="33"/>
    </row>
    <row r="43" spans="1:17" ht="24" customHeight="1">
      <c r="A43" s="131">
        <v>3</v>
      </c>
      <c r="B43" s="129" t="s">
        <v>495</v>
      </c>
      <c r="C43" s="33"/>
      <c r="D43" s="33"/>
      <c r="E43" s="33"/>
      <c r="F43" s="33"/>
      <c r="G43" s="33"/>
      <c r="H43" s="33"/>
      <c r="I43" s="33"/>
      <c r="J43" s="33"/>
      <c r="K43" s="33"/>
      <c r="L43" s="33"/>
      <c r="M43" s="33"/>
      <c r="N43" s="33"/>
      <c r="O43" s="33"/>
      <c r="P43" s="33"/>
      <c r="Q43" s="33"/>
    </row>
    <row r="44" spans="1:17" ht="24" customHeight="1">
      <c r="A44" s="131">
        <v>4</v>
      </c>
      <c r="B44" s="129" t="s">
        <v>500</v>
      </c>
      <c r="C44" s="33"/>
      <c r="D44" s="33"/>
      <c r="E44" s="33"/>
      <c r="F44" s="33"/>
      <c r="G44" s="33"/>
      <c r="H44" s="33"/>
      <c r="I44" s="33"/>
      <c r="J44" s="33"/>
      <c r="K44" s="33"/>
      <c r="L44" s="33"/>
      <c r="M44" s="33"/>
      <c r="N44" s="33"/>
      <c r="O44" s="33"/>
      <c r="P44" s="33"/>
      <c r="Q44" s="33"/>
    </row>
    <row r="45" spans="1:17" ht="24" customHeight="1">
      <c r="A45" s="129"/>
      <c r="B45" s="128" t="s">
        <v>492</v>
      </c>
      <c r="C45" s="33"/>
      <c r="D45" s="33"/>
      <c r="E45" s="33"/>
      <c r="F45" s="33"/>
      <c r="G45" s="33"/>
      <c r="H45" s="33"/>
      <c r="I45" s="33"/>
      <c r="J45" s="33"/>
      <c r="K45" s="33"/>
      <c r="L45" s="33"/>
      <c r="M45" s="33"/>
      <c r="N45" s="33"/>
      <c r="O45" s="33"/>
      <c r="P45" s="33"/>
      <c r="Q45" s="33"/>
    </row>
    <row r="46" ht="15">
      <c r="A46" s="127"/>
    </row>
    <row r="47" ht="15">
      <c r="B47" s="126"/>
    </row>
    <row r="48" ht="15">
      <c r="B48" s="126"/>
    </row>
    <row r="49" ht="15">
      <c r="B49" s="126"/>
    </row>
    <row r="51" ht="18.75">
      <c r="O51" s="143" t="s">
        <v>510</v>
      </c>
    </row>
    <row r="52" spans="1:17" ht="18.75">
      <c r="A52" s="142" t="s">
        <v>509</v>
      </c>
      <c r="B52" s="142"/>
      <c r="C52" s="142"/>
      <c r="D52" s="142"/>
      <c r="E52" s="142"/>
      <c r="F52" s="142"/>
      <c r="G52" s="142"/>
      <c r="H52" s="142"/>
      <c r="I52" s="142"/>
      <c r="J52" s="142"/>
      <c r="K52" s="142"/>
      <c r="L52" s="142"/>
      <c r="M52" s="142"/>
      <c r="N52" s="142"/>
      <c r="O52" s="142"/>
      <c r="P52" s="142"/>
      <c r="Q52" s="142"/>
    </row>
    <row r="53" spans="1:17" ht="15">
      <c r="A53" s="372"/>
      <c r="B53" s="372"/>
      <c r="C53" s="372"/>
      <c r="D53" s="372"/>
      <c r="E53" s="372"/>
      <c r="F53" s="372"/>
      <c r="G53" s="372"/>
      <c r="H53" s="372"/>
      <c r="I53" s="372"/>
      <c r="J53" s="372"/>
      <c r="K53" s="47"/>
      <c r="L53" s="47"/>
      <c r="M53" s="47"/>
      <c r="N53" s="47"/>
      <c r="O53" s="47"/>
      <c r="P53" s="47"/>
      <c r="Q53" s="47"/>
    </row>
    <row r="54" spans="1:17" ht="18.75">
      <c r="A54" s="369" t="s">
        <v>508</v>
      </c>
      <c r="B54" s="369"/>
      <c r="C54" s="369"/>
      <c r="D54" s="369"/>
      <c r="E54" s="369"/>
      <c r="F54" s="369"/>
      <c r="G54" s="369"/>
      <c r="H54" s="369"/>
      <c r="I54" s="369"/>
      <c r="J54" s="369"/>
      <c r="K54" s="369"/>
      <c r="L54" s="369"/>
      <c r="M54" s="369"/>
      <c r="N54" s="369"/>
      <c r="O54" s="369"/>
      <c r="P54" s="369"/>
      <c r="Q54" s="369"/>
    </row>
    <row r="55" spans="1:17" ht="18.75">
      <c r="A55" s="369"/>
      <c r="B55" s="369"/>
      <c r="C55" s="369"/>
      <c r="D55" s="369"/>
      <c r="E55" s="369"/>
      <c r="F55" s="369"/>
      <c r="G55" s="369"/>
      <c r="H55" s="369"/>
      <c r="I55" s="369"/>
      <c r="J55" s="369"/>
      <c r="K55" s="369"/>
      <c r="L55" s="369"/>
      <c r="M55" s="369"/>
      <c r="N55" s="369"/>
      <c r="O55" s="369"/>
      <c r="P55" s="369"/>
      <c r="Q55" s="369"/>
    </row>
    <row r="56" spans="1:17" s="141" customFormat="1" ht="24.75" customHeight="1">
      <c r="A56" s="129"/>
      <c r="B56" s="129"/>
      <c r="C56" s="370" t="s">
        <v>481</v>
      </c>
      <c r="D56" s="370"/>
      <c r="E56" s="370"/>
      <c r="F56" s="370"/>
      <c r="G56" s="370"/>
      <c r="H56" s="370"/>
      <c r="I56" s="370"/>
      <c r="J56" s="370"/>
      <c r="K56" s="371" t="s">
        <v>507</v>
      </c>
      <c r="L56" s="371"/>
      <c r="M56" s="371"/>
      <c r="N56" s="371"/>
      <c r="O56" s="371"/>
      <c r="P56" s="371"/>
      <c r="Q56" s="371"/>
    </row>
    <row r="57" spans="1:17" s="137" customFormat="1" ht="48.75" customHeight="1">
      <c r="A57" s="277" t="s">
        <v>38</v>
      </c>
      <c r="B57" s="277" t="s">
        <v>506</v>
      </c>
      <c r="C57" s="278" t="s">
        <v>77</v>
      </c>
      <c r="D57" s="278" t="s">
        <v>76</v>
      </c>
      <c r="E57" s="278" t="s">
        <v>36</v>
      </c>
      <c r="F57" s="279" t="s">
        <v>35</v>
      </c>
      <c r="G57" s="279" t="s">
        <v>34</v>
      </c>
      <c r="H57" s="279" t="s">
        <v>33</v>
      </c>
      <c r="I57" s="279" t="s">
        <v>32</v>
      </c>
      <c r="J57" s="279" t="s">
        <v>31</v>
      </c>
      <c r="K57" s="279" t="s">
        <v>30</v>
      </c>
      <c r="L57" s="279" t="s">
        <v>29</v>
      </c>
      <c r="M57" s="279" t="s">
        <v>28</v>
      </c>
      <c r="N57" s="279" t="s">
        <v>27</v>
      </c>
      <c r="O57" s="279" t="s">
        <v>26</v>
      </c>
      <c r="P57" s="279" t="s">
        <v>25</v>
      </c>
      <c r="Q57" s="279" t="s">
        <v>24</v>
      </c>
    </row>
    <row r="58" spans="1:17" ht="24" customHeight="1">
      <c r="A58" s="136" t="s">
        <v>16</v>
      </c>
      <c r="B58" s="135" t="s">
        <v>505</v>
      </c>
      <c r="C58" s="134"/>
      <c r="D58" s="134"/>
      <c r="E58" s="134"/>
      <c r="F58" s="133"/>
      <c r="G58" s="133"/>
      <c r="H58" s="133"/>
      <c r="I58" s="133"/>
      <c r="J58" s="133"/>
      <c r="K58" s="133"/>
      <c r="L58" s="133"/>
      <c r="M58" s="133"/>
      <c r="N58" s="133"/>
      <c r="O58" s="133"/>
      <c r="P58" s="133"/>
      <c r="Q58" s="133"/>
    </row>
    <row r="59" spans="1:17" ht="24" customHeight="1">
      <c r="A59" s="136"/>
      <c r="B59" s="129" t="s">
        <v>504</v>
      </c>
      <c r="C59" s="134"/>
      <c r="D59" s="134"/>
      <c r="E59" s="134"/>
      <c r="F59" s="133"/>
      <c r="G59" s="133"/>
      <c r="H59" s="133"/>
      <c r="I59" s="133"/>
      <c r="J59" s="133"/>
      <c r="K59" s="133"/>
      <c r="L59" s="133"/>
      <c r="M59" s="133"/>
      <c r="N59" s="133"/>
      <c r="O59" s="133"/>
      <c r="P59" s="133"/>
      <c r="Q59" s="133"/>
    </row>
    <row r="60" spans="1:17" ht="24" customHeight="1">
      <c r="A60" s="136"/>
      <c r="B60" s="129" t="s">
        <v>503</v>
      </c>
      <c r="C60" s="134"/>
      <c r="D60" s="134"/>
      <c r="E60" s="134"/>
      <c r="F60" s="133"/>
      <c r="G60" s="133"/>
      <c r="H60" s="133"/>
      <c r="I60" s="133"/>
      <c r="J60" s="133"/>
      <c r="K60" s="133"/>
      <c r="L60" s="133"/>
      <c r="M60" s="133"/>
      <c r="N60" s="133"/>
      <c r="O60" s="133"/>
      <c r="P60" s="133"/>
      <c r="Q60" s="133"/>
    </row>
    <row r="61" spans="1:17" ht="24" customHeight="1">
      <c r="A61" s="136"/>
      <c r="B61" s="129" t="s">
        <v>502</v>
      </c>
      <c r="C61" s="134"/>
      <c r="D61" s="134"/>
      <c r="E61" s="134"/>
      <c r="F61" s="133"/>
      <c r="G61" s="133"/>
      <c r="H61" s="133"/>
      <c r="I61" s="133"/>
      <c r="J61" s="133"/>
      <c r="K61" s="133"/>
      <c r="L61" s="133"/>
      <c r="M61" s="133"/>
      <c r="N61" s="133"/>
      <c r="O61" s="133"/>
      <c r="P61" s="133"/>
      <c r="Q61" s="133"/>
    </row>
    <row r="62" spans="1:17" ht="24" customHeight="1">
      <c r="A62" s="136"/>
      <c r="B62" s="129" t="s">
        <v>501</v>
      </c>
      <c r="C62" s="134"/>
      <c r="D62" s="134"/>
      <c r="E62" s="134"/>
      <c r="F62" s="133"/>
      <c r="G62" s="133"/>
      <c r="H62" s="133"/>
      <c r="I62" s="133"/>
      <c r="J62" s="133"/>
      <c r="K62" s="133"/>
      <c r="L62" s="133"/>
      <c r="M62" s="133"/>
      <c r="N62" s="133"/>
      <c r="O62" s="133"/>
      <c r="P62" s="133"/>
      <c r="Q62" s="133"/>
    </row>
    <row r="63" spans="1:17" ht="24" customHeight="1">
      <c r="A63" s="136"/>
      <c r="B63" s="129" t="s">
        <v>500</v>
      </c>
      <c r="C63" s="134"/>
      <c r="D63" s="134"/>
      <c r="E63" s="134"/>
      <c r="F63" s="133"/>
      <c r="G63" s="133"/>
      <c r="H63" s="133"/>
      <c r="I63" s="133"/>
      <c r="J63" s="133"/>
      <c r="K63" s="133"/>
      <c r="L63" s="133"/>
      <c r="M63" s="133"/>
      <c r="N63" s="133"/>
      <c r="O63" s="133"/>
      <c r="P63" s="133"/>
      <c r="Q63" s="133"/>
    </row>
    <row r="64" spans="1:17" ht="24" customHeight="1">
      <c r="A64" s="136"/>
      <c r="B64" s="136" t="s">
        <v>499</v>
      </c>
      <c r="C64" s="134"/>
      <c r="D64" s="134"/>
      <c r="E64" s="134"/>
      <c r="F64" s="133"/>
      <c r="G64" s="133"/>
      <c r="H64" s="133"/>
      <c r="I64" s="133"/>
      <c r="J64" s="133"/>
      <c r="K64" s="133"/>
      <c r="L64" s="133"/>
      <c r="M64" s="133"/>
      <c r="N64" s="133"/>
      <c r="O64" s="133"/>
      <c r="P64" s="133"/>
      <c r="Q64" s="133"/>
    </row>
    <row r="65" spans="1:17" ht="24" customHeight="1">
      <c r="A65" s="136" t="s">
        <v>14</v>
      </c>
      <c r="B65" s="135" t="s">
        <v>498</v>
      </c>
      <c r="C65" s="134"/>
      <c r="D65" s="134"/>
      <c r="E65" s="134"/>
      <c r="F65" s="133"/>
      <c r="G65" s="133"/>
      <c r="H65" s="133"/>
      <c r="I65" s="133"/>
      <c r="J65" s="133"/>
      <c r="K65" s="133"/>
      <c r="L65" s="133"/>
      <c r="M65" s="133"/>
      <c r="N65" s="133"/>
      <c r="O65" s="133"/>
      <c r="P65" s="133"/>
      <c r="Q65" s="133"/>
    </row>
    <row r="66" spans="1:17" ht="24" customHeight="1">
      <c r="A66" s="131">
        <v>1</v>
      </c>
      <c r="B66" s="129" t="s">
        <v>497</v>
      </c>
      <c r="C66" s="130">
        <v>0.78</v>
      </c>
      <c r="D66" s="130">
        <v>1.03</v>
      </c>
      <c r="E66" s="130">
        <v>1.03</v>
      </c>
      <c r="F66" s="130">
        <v>0.54</v>
      </c>
      <c r="G66" s="130">
        <v>2.04</v>
      </c>
      <c r="H66" s="130">
        <v>6.01</v>
      </c>
      <c r="I66" s="130">
        <v>5.54</v>
      </c>
      <c r="J66" s="130">
        <v>6.09</v>
      </c>
      <c r="K66" s="130">
        <v>6.7</v>
      </c>
      <c r="L66" s="130">
        <v>7.37</v>
      </c>
      <c r="M66" s="130">
        <v>8.11</v>
      </c>
      <c r="N66" s="130">
        <v>8.92</v>
      </c>
      <c r="O66" s="130">
        <v>9.81</v>
      </c>
      <c r="P66" s="130">
        <v>10.79</v>
      </c>
      <c r="Q66" s="130">
        <v>11.87</v>
      </c>
    </row>
    <row r="67" spans="1:17" ht="24" customHeight="1">
      <c r="A67" s="131">
        <v>2</v>
      </c>
      <c r="B67" s="129" t="s">
        <v>496</v>
      </c>
      <c r="C67" s="130">
        <v>3.81</v>
      </c>
      <c r="D67" s="130">
        <v>9.75</v>
      </c>
      <c r="E67" s="130">
        <v>9.75</v>
      </c>
      <c r="F67" s="130">
        <v>20.54</v>
      </c>
      <c r="G67" s="130">
        <v>24.42</v>
      </c>
      <c r="H67" s="130">
        <v>23.07</v>
      </c>
      <c r="I67" s="130">
        <v>31.7</v>
      </c>
      <c r="J67" s="130">
        <v>35.48</v>
      </c>
      <c r="K67" s="130">
        <v>39.03</v>
      </c>
      <c r="L67" s="130">
        <v>42.93</v>
      </c>
      <c r="M67" s="130">
        <v>47.22</v>
      </c>
      <c r="N67" s="130">
        <v>51.95</v>
      </c>
      <c r="O67" s="130">
        <v>57.14</v>
      </c>
      <c r="P67" s="130">
        <v>62.85</v>
      </c>
      <c r="Q67" s="130">
        <v>69.14</v>
      </c>
    </row>
    <row r="68" spans="1:17" ht="24" customHeight="1">
      <c r="A68" s="131">
        <v>3</v>
      </c>
      <c r="B68" s="129" t="s">
        <v>495</v>
      </c>
      <c r="C68" s="130">
        <v>0</v>
      </c>
      <c r="D68" s="130">
        <v>0</v>
      </c>
      <c r="E68" s="130">
        <v>0</v>
      </c>
      <c r="F68" s="130">
        <v>0</v>
      </c>
      <c r="G68" s="130">
        <v>0</v>
      </c>
      <c r="H68" s="130">
        <v>0</v>
      </c>
      <c r="I68" s="130">
        <v>0</v>
      </c>
      <c r="J68" s="130">
        <v>0</v>
      </c>
      <c r="K68" s="130">
        <v>0</v>
      </c>
      <c r="L68" s="130">
        <v>0</v>
      </c>
      <c r="M68" s="130">
        <v>0</v>
      </c>
      <c r="N68" s="130">
        <v>0</v>
      </c>
      <c r="O68" s="130">
        <v>0</v>
      </c>
      <c r="P68" s="130">
        <v>0</v>
      </c>
      <c r="Q68" s="130">
        <v>0</v>
      </c>
    </row>
    <row r="69" spans="1:17" ht="45" customHeight="1">
      <c r="A69" s="131"/>
      <c r="B69" s="132" t="s">
        <v>494</v>
      </c>
      <c r="C69" s="130">
        <v>0</v>
      </c>
      <c r="D69" s="130">
        <v>0</v>
      </c>
      <c r="E69" s="130">
        <v>0</v>
      </c>
      <c r="F69" s="130">
        <v>25.79</v>
      </c>
      <c r="G69" s="130">
        <v>38.18</v>
      </c>
      <c r="H69" s="130">
        <v>30.95</v>
      </c>
      <c r="I69" s="130">
        <v>39.54</v>
      </c>
      <c r="J69" s="130">
        <v>47.04</v>
      </c>
      <c r="K69" s="130">
        <v>51.74</v>
      </c>
      <c r="L69" s="130">
        <v>56.92</v>
      </c>
      <c r="M69" s="130">
        <v>62.61</v>
      </c>
      <c r="N69" s="130">
        <v>68.87</v>
      </c>
      <c r="O69" s="130">
        <v>75.76</v>
      </c>
      <c r="P69" s="130">
        <v>83.33</v>
      </c>
      <c r="Q69" s="130">
        <v>91.67</v>
      </c>
    </row>
    <row r="70" spans="1:17" ht="24" customHeight="1">
      <c r="A70" s="131">
        <v>4</v>
      </c>
      <c r="B70" s="129" t="s">
        <v>493</v>
      </c>
      <c r="C70" s="130">
        <f>0.72+0.007</f>
        <v>0.727</v>
      </c>
      <c r="D70" s="130">
        <f>2.92+0.012</f>
        <v>2.932</v>
      </c>
      <c r="E70" s="130">
        <v>2.93</v>
      </c>
      <c r="F70" s="130">
        <v>38.42</v>
      </c>
      <c r="G70" s="130">
        <v>41.48</v>
      </c>
      <c r="H70" s="130">
        <v>65.05</v>
      </c>
      <c r="I70" s="130">
        <v>65.46</v>
      </c>
      <c r="J70" s="130">
        <v>72</v>
      </c>
      <c r="K70" s="130">
        <v>79.2</v>
      </c>
      <c r="L70" s="130">
        <v>87.12</v>
      </c>
      <c r="M70" s="130">
        <v>95.83</v>
      </c>
      <c r="N70" s="130">
        <v>105.42</v>
      </c>
      <c r="O70" s="130">
        <v>115.96</v>
      </c>
      <c r="P70" s="130">
        <v>127.55</v>
      </c>
      <c r="Q70" s="130">
        <v>140.31</v>
      </c>
    </row>
    <row r="71" spans="1:17" ht="24" customHeight="1">
      <c r="A71" s="129"/>
      <c r="B71" s="128" t="s">
        <v>492</v>
      </c>
      <c r="C71" s="50">
        <f aca="true" t="shared" si="1" ref="C71:Q71">SUM(C66:C70)</f>
        <v>5.317</v>
      </c>
      <c r="D71" s="50">
        <f t="shared" si="1"/>
        <v>13.712</v>
      </c>
      <c r="E71" s="50">
        <f t="shared" si="1"/>
        <v>13.709999999999999</v>
      </c>
      <c r="F71" s="50">
        <f t="shared" si="1"/>
        <v>85.28999999999999</v>
      </c>
      <c r="G71" s="50">
        <f t="shared" si="1"/>
        <v>106.12</v>
      </c>
      <c r="H71" s="50">
        <f t="shared" si="1"/>
        <v>125.08</v>
      </c>
      <c r="I71" s="50">
        <f t="shared" si="1"/>
        <v>142.24</v>
      </c>
      <c r="J71" s="50">
        <f t="shared" si="1"/>
        <v>160.60999999999999</v>
      </c>
      <c r="K71" s="50">
        <f t="shared" si="1"/>
        <v>176.67000000000002</v>
      </c>
      <c r="L71" s="50">
        <f t="shared" si="1"/>
        <v>194.34</v>
      </c>
      <c r="M71" s="50">
        <f t="shared" si="1"/>
        <v>213.76999999999998</v>
      </c>
      <c r="N71" s="50">
        <f t="shared" si="1"/>
        <v>235.16000000000003</v>
      </c>
      <c r="O71" s="50">
        <f t="shared" si="1"/>
        <v>258.67</v>
      </c>
      <c r="P71" s="50">
        <f t="shared" si="1"/>
        <v>284.52</v>
      </c>
      <c r="Q71" s="50">
        <f t="shared" si="1"/>
        <v>312.99</v>
      </c>
    </row>
    <row r="72" ht="15">
      <c r="A72" s="127"/>
    </row>
    <row r="73" ht="15">
      <c r="B73" s="126"/>
    </row>
  </sheetData>
  <sheetProtection/>
  <mergeCells count="15">
    <mergeCell ref="A28:J28"/>
    <mergeCell ref="A3:J3"/>
    <mergeCell ref="A4:Q4"/>
    <mergeCell ref="A5:Q5"/>
    <mergeCell ref="C6:J6"/>
    <mergeCell ref="K6:Q6"/>
    <mergeCell ref="A55:Q55"/>
    <mergeCell ref="C56:J56"/>
    <mergeCell ref="K56:Q56"/>
    <mergeCell ref="A29:Q29"/>
    <mergeCell ref="A30:Q30"/>
    <mergeCell ref="C31:J31"/>
    <mergeCell ref="K31:Q31"/>
    <mergeCell ref="A53:J53"/>
    <mergeCell ref="A54:Q54"/>
  </mergeCells>
  <printOptions horizontalCentered="1"/>
  <pageMargins left="0.433070866141732" right="0.236220472440945" top="0.669291338582677" bottom="0.866141732283465" header="0.511811023622047" footer="0.511811023622047"/>
  <pageSetup firstPageNumber="122" useFirstPageNumber="1" horizontalDpi="600" verticalDpi="600" orientation="landscape" paperSize="9" scale="88" r:id="rId1"/>
  <headerFooter alignWithMargins="0">
    <oddFooter>&amp;C&amp;P</oddFooter>
  </headerFooter>
  <rowBreaks count="1" manualBreakCount="1">
    <brk id="24" max="17" man="1"/>
  </rowBreaks>
</worksheet>
</file>

<file path=xl/worksheets/sheet22.xml><?xml version="1.0" encoding="utf-8"?>
<worksheet xmlns="http://schemas.openxmlformats.org/spreadsheetml/2006/main" xmlns:r="http://schemas.openxmlformats.org/officeDocument/2006/relationships">
  <dimension ref="A1:O78"/>
  <sheetViews>
    <sheetView zoomScalePageLayoutView="0" workbookViewId="0" topLeftCell="A1">
      <selection activeCell="A30" sqref="A30:J30"/>
    </sheetView>
  </sheetViews>
  <sheetFormatPr defaultColWidth="9.140625" defaultRowHeight="15"/>
  <cols>
    <col min="1" max="1" width="2.8515625" style="0" customWidth="1"/>
    <col min="2" max="2" width="20.8515625" style="0" customWidth="1"/>
    <col min="3" max="6" width="7.8515625" style="0" customWidth="1"/>
    <col min="7" max="9" width="7.8515625" style="146" customWidth="1"/>
    <col min="10" max="10" width="7.8515625" style="0" customWidth="1"/>
    <col min="11" max="15" width="8.00390625" style="0" customWidth="1"/>
  </cols>
  <sheetData>
    <row r="1" ht="18.75">
      <c r="O1" s="143" t="s">
        <v>530</v>
      </c>
    </row>
    <row r="2" spans="1:15" ht="18.75">
      <c r="A2" s="275" t="s">
        <v>522</v>
      </c>
      <c r="B2" s="275"/>
      <c r="C2" s="275"/>
      <c r="D2" s="275"/>
      <c r="E2" s="275"/>
      <c r="F2" s="275"/>
      <c r="G2" s="276"/>
      <c r="H2" s="276"/>
      <c r="I2" s="276"/>
      <c r="J2" s="275"/>
      <c r="K2" s="275"/>
      <c r="L2" s="275"/>
      <c r="M2" s="275"/>
      <c r="N2" s="275"/>
      <c r="O2" s="275"/>
    </row>
    <row r="3" spans="1:15" ht="15">
      <c r="A3" s="372"/>
      <c r="B3" s="372"/>
      <c r="C3" s="372"/>
      <c r="D3" s="372"/>
      <c r="E3" s="372"/>
      <c r="F3" s="372"/>
      <c r="G3" s="372"/>
      <c r="H3" s="372"/>
      <c r="I3" s="372"/>
      <c r="J3" s="372"/>
      <c r="K3" s="47"/>
      <c r="L3" s="47"/>
      <c r="M3" s="47"/>
      <c r="N3" s="47"/>
      <c r="O3" s="47"/>
    </row>
    <row r="4" spans="1:15" ht="18.75">
      <c r="A4" s="369" t="s">
        <v>529</v>
      </c>
      <c r="B4" s="369"/>
      <c r="C4" s="369"/>
      <c r="D4" s="369"/>
      <c r="E4" s="369"/>
      <c r="F4" s="369"/>
      <c r="G4" s="369"/>
      <c r="H4" s="369"/>
      <c r="I4" s="369"/>
      <c r="J4" s="369"/>
      <c r="K4" s="369"/>
      <c r="L4" s="369"/>
      <c r="M4" s="369"/>
      <c r="N4" s="369"/>
      <c r="O4" s="369"/>
    </row>
    <row r="5" spans="1:15" ht="18.75">
      <c r="A5" s="369"/>
      <c r="B5" s="369"/>
      <c r="C5" s="369"/>
      <c r="D5" s="369"/>
      <c r="E5" s="369"/>
      <c r="F5" s="369"/>
      <c r="G5" s="369"/>
      <c r="H5" s="369"/>
      <c r="I5" s="369"/>
      <c r="J5" s="369"/>
      <c r="K5" s="369"/>
      <c r="L5" s="369"/>
      <c r="M5" s="369"/>
      <c r="N5" s="369"/>
      <c r="O5" s="369"/>
    </row>
    <row r="6" spans="1:15" s="141" customFormat="1" ht="24.75" customHeight="1">
      <c r="A6" s="129"/>
      <c r="B6" s="129"/>
      <c r="C6" s="370" t="s">
        <v>481</v>
      </c>
      <c r="D6" s="370"/>
      <c r="E6" s="370"/>
      <c r="F6" s="370"/>
      <c r="G6" s="370"/>
      <c r="H6" s="370"/>
      <c r="I6" s="370"/>
      <c r="J6" s="370"/>
      <c r="K6" s="371" t="s">
        <v>507</v>
      </c>
      <c r="L6" s="371"/>
      <c r="M6" s="371"/>
      <c r="N6" s="371"/>
      <c r="O6" s="371"/>
    </row>
    <row r="7" spans="1:15" s="137" customFormat="1" ht="48.75" customHeight="1">
      <c r="A7" s="140" t="s">
        <v>38</v>
      </c>
      <c r="B7" s="140" t="s">
        <v>506</v>
      </c>
      <c r="C7" s="139" t="s">
        <v>36</v>
      </c>
      <c r="D7" s="139" t="s">
        <v>35</v>
      </c>
      <c r="E7" s="139" t="s">
        <v>34</v>
      </c>
      <c r="F7" s="138" t="s">
        <v>33</v>
      </c>
      <c r="G7" s="138" t="s">
        <v>32</v>
      </c>
      <c r="H7" s="138" t="s">
        <v>31</v>
      </c>
      <c r="I7" s="138" t="s">
        <v>30</v>
      </c>
      <c r="J7" s="138" t="s">
        <v>29</v>
      </c>
      <c r="K7" s="138" t="s">
        <v>28</v>
      </c>
      <c r="L7" s="138" t="s">
        <v>27</v>
      </c>
      <c r="M7" s="138" t="s">
        <v>26</v>
      </c>
      <c r="N7" s="138" t="s">
        <v>25</v>
      </c>
      <c r="O7" s="138" t="s">
        <v>24</v>
      </c>
    </row>
    <row r="8" spans="1:15" ht="24" customHeight="1">
      <c r="A8" s="136" t="s">
        <v>16</v>
      </c>
      <c r="B8" s="135" t="s">
        <v>505</v>
      </c>
      <c r="C8" s="134"/>
      <c r="D8" s="134"/>
      <c r="E8" s="134"/>
      <c r="F8" s="133"/>
      <c r="G8" s="133"/>
      <c r="H8" s="133"/>
      <c r="I8" s="133"/>
      <c r="J8" s="133"/>
      <c r="K8" s="133"/>
      <c r="L8" s="133"/>
      <c r="M8" s="133"/>
      <c r="N8" s="133"/>
      <c r="O8" s="133"/>
    </row>
    <row r="9" spans="1:15" ht="24" customHeight="1">
      <c r="A9" s="136"/>
      <c r="B9" s="129" t="s">
        <v>504</v>
      </c>
      <c r="C9" s="134"/>
      <c r="D9" s="134"/>
      <c r="E9" s="134"/>
      <c r="F9" s="133"/>
      <c r="G9" s="133"/>
      <c r="H9" s="133"/>
      <c r="I9" s="133"/>
      <c r="J9" s="133"/>
      <c r="K9" s="133"/>
      <c r="L9" s="133"/>
      <c r="M9" s="133"/>
      <c r="N9" s="133"/>
      <c r="O9" s="133"/>
    </row>
    <row r="10" spans="1:15" ht="24" customHeight="1">
      <c r="A10" s="136"/>
      <c r="B10" s="129" t="s">
        <v>503</v>
      </c>
      <c r="C10" s="134"/>
      <c r="D10" s="134"/>
      <c r="E10" s="134"/>
      <c r="F10" s="133"/>
      <c r="G10" s="133"/>
      <c r="H10" s="133"/>
      <c r="I10" s="133"/>
      <c r="J10" s="133"/>
      <c r="K10" s="133"/>
      <c r="L10" s="133"/>
      <c r="M10" s="133"/>
      <c r="N10" s="133"/>
      <c r="O10" s="133"/>
    </row>
    <row r="11" spans="1:15" ht="24" customHeight="1">
      <c r="A11" s="136"/>
      <c r="B11" s="129" t="s">
        <v>502</v>
      </c>
      <c r="C11" s="170">
        <v>0</v>
      </c>
      <c r="D11" s="169">
        <v>0</v>
      </c>
      <c r="E11" s="169">
        <v>0</v>
      </c>
      <c r="F11" s="169">
        <v>0</v>
      </c>
      <c r="G11" s="171">
        <v>21.59</v>
      </c>
      <c r="H11" s="171">
        <v>22.67</v>
      </c>
      <c r="I11" s="171">
        <v>23.8</v>
      </c>
      <c r="J11" s="171">
        <v>24.99</v>
      </c>
      <c r="K11" s="171">
        <v>26.24</v>
      </c>
      <c r="L11" s="171">
        <f>K11*110%</f>
        <v>28.864</v>
      </c>
      <c r="M11" s="171">
        <f>L11*110%</f>
        <v>31.750400000000003</v>
      </c>
      <c r="N11" s="171">
        <f>M11*110%</f>
        <v>34.92544000000001</v>
      </c>
      <c r="O11" s="171">
        <f>N11*110%</f>
        <v>38.41798400000001</v>
      </c>
    </row>
    <row r="12" spans="1:15" ht="24" customHeight="1">
      <c r="A12" s="136"/>
      <c r="B12" s="129" t="s">
        <v>501</v>
      </c>
      <c r="C12" s="170"/>
      <c r="D12" s="170"/>
      <c r="E12" s="170"/>
      <c r="F12" s="169"/>
      <c r="G12" s="169"/>
      <c r="H12" s="169"/>
      <c r="I12" s="169"/>
      <c r="J12" s="169"/>
      <c r="K12" s="169"/>
      <c r="L12" s="169"/>
      <c r="M12" s="169"/>
      <c r="N12" s="169"/>
      <c r="O12" s="169"/>
    </row>
    <row r="13" spans="1:15" ht="30">
      <c r="A13" s="136"/>
      <c r="B13" s="132" t="s">
        <v>528</v>
      </c>
      <c r="C13" s="168">
        <v>25.51</v>
      </c>
      <c r="D13" s="167">
        <v>25.52</v>
      </c>
      <c r="E13" s="167">
        <v>26.8</v>
      </c>
      <c r="F13" s="167">
        <v>31.5</v>
      </c>
      <c r="G13" s="167">
        <v>31.51</v>
      </c>
      <c r="H13" s="167">
        <v>33.09</v>
      </c>
      <c r="I13" s="166">
        <v>34.74</v>
      </c>
      <c r="J13" s="166">
        <v>36.48</v>
      </c>
      <c r="K13" s="166">
        <v>38.3</v>
      </c>
      <c r="L13" s="166">
        <f>K13*110%</f>
        <v>42.13</v>
      </c>
      <c r="M13" s="166">
        <f>L13*110%</f>
        <v>46.343</v>
      </c>
      <c r="N13" s="166">
        <f>M13*110%</f>
        <v>50.97730000000001</v>
      </c>
      <c r="O13" s="166">
        <f>N13*110%</f>
        <v>56.07503000000001</v>
      </c>
    </row>
    <row r="14" spans="1:15" ht="24" customHeight="1">
      <c r="A14" s="136"/>
      <c r="B14" s="136" t="s">
        <v>499</v>
      </c>
      <c r="C14" s="164">
        <f aca="true" t="shared" si="0" ref="C14:O14">SUM(C9:C13)</f>
        <v>25.51</v>
      </c>
      <c r="D14" s="164">
        <f t="shared" si="0"/>
        <v>25.52</v>
      </c>
      <c r="E14" s="164">
        <f t="shared" si="0"/>
        <v>26.8</v>
      </c>
      <c r="F14" s="164">
        <f t="shared" si="0"/>
        <v>31.5</v>
      </c>
      <c r="G14" s="165">
        <f t="shared" si="0"/>
        <v>53.1</v>
      </c>
      <c r="H14" s="165">
        <f t="shared" si="0"/>
        <v>55.760000000000005</v>
      </c>
      <c r="I14" s="165">
        <f t="shared" si="0"/>
        <v>58.540000000000006</v>
      </c>
      <c r="J14" s="164">
        <f t="shared" si="0"/>
        <v>61.47</v>
      </c>
      <c r="K14" s="164">
        <f t="shared" si="0"/>
        <v>64.53999999999999</v>
      </c>
      <c r="L14" s="164">
        <f t="shared" si="0"/>
        <v>70.994</v>
      </c>
      <c r="M14" s="164">
        <f t="shared" si="0"/>
        <v>78.0934</v>
      </c>
      <c r="N14" s="164">
        <f t="shared" si="0"/>
        <v>85.90274000000002</v>
      </c>
      <c r="O14" s="164">
        <f t="shared" si="0"/>
        <v>94.49301400000002</v>
      </c>
    </row>
    <row r="15" spans="1:15" ht="24" customHeight="1">
      <c r="A15" s="136" t="s">
        <v>14</v>
      </c>
      <c r="B15" s="135" t="s">
        <v>498</v>
      </c>
      <c r="C15" s="134"/>
      <c r="D15" s="134"/>
      <c r="E15" s="134"/>
      <c r="F15" s="133"/>
      <c r="G15" s="133"/>
      <c r="H15" s="133"/>
      <c r="I15" s="133"/>
      <c r="J15" s="133"/>
      <c r="K15" s="133"/>
      <c r="L15" s="133"/>
      <c r="M15" s="133"/>
      <c r="N15" s="133"/>
      <c r="O15" s="133"/>
    </row>
    <row r="16" spans="1:15" ht="24" customHeight="1">
      <c r="A16" s="131">
        <v>1</v>
      </c>
      <c r="B16" s="129" t="s">
        <v>497</v>
      </c>
      <c r="C16" s="33"/>
      <c r="D16" s="33"/>
      <c r="E16" s="33"/>
      <c r="F16" s="33"/>
      <c r="G16" s="153"/>
      <c r="H16" s="153"/>
      <c r="I16" s="153"/>
      <c r="J16" s="33"/>
      <c r="K16" s="33"/>
      <c r="L16" s="33"/>
      <c r="M16" s="33"/>
      <c r="N16" s="33"/>
      <c r="O16" s="33"/>
    </row>
    <row r="17" spans="1:15" ht="24" customHeight="1">
      <c r="A17" s="131">
        <v>2</v>
      </c>
      <c r="B17" s="129" t="s">
        <v>496</v>
      </c>
      <c r="C17" s="149">
        <v>235.22</v>
      </c>
      <c r="D17" s="149">
        <v>217.05</v>
      </c>
      <c r="E17" s="149">
        <v>236.78</v>
      </c>
      <c r="F17" s="149">
        <v>282.54</v>
      </c>
      <c r="G17" s="150">
        <v>318.35</v>
      </c>
      <c r="H17" s="150">
        <v>334.27</v>
      </c>
      <c r="I17" s="151">
        <v>350.98</v>
      </c>
      <c r="J17" s="151">
        <v>368.53</v>
      </c>
      <c r="K17" s="151">
        <v>386.96</v>
      </c>
      <c r="L17" s="151">
        <f>K17*110%</f>
        <v>425.656</v>
      </c>
      <c r="M17" s="151">
        <f>L17*110%</f>
        <v>468.2216</v>
      </c>
      <c r="N17" s="151">
        <f>M17*110%</f>
        <v>515.04376</v>
      </c>
      <c r="O17" s="151">
        <f>N17*110%</f>
        <v>566.5481360000001</v>
      </c>
    </row>
    <row r="18" spans="1:15" ht="24" customHeight="1">
      <c r="A18" s="131">
        <v>3</v>
      </c>
      <c r="B18" s="129" t="s">
        <v>495</v>
      </c>
      <c r="C18" s="149"/>
      <c r="D18" s="149"/>
      <c r="E18" s="149"/>
      <c r="F18" s="149"/>
      <c r="G18" s="150"/>
      <c r="H18" s="150"/>
      <c r="I18" s="150"/>
      <c r="J18" s="149"/>
      <c r="K18" s="149"/>
      <c r="L18" s="149"/>
      <c r="M18" s="149"/>
      <c r="N18" s="149"/>
      <c r="O18" s="149"/>
    </row>
    <row r="19" spans="1:15" ht="24" customHeight="1">
      <c r="A19" s="131">
        <v>4</v>
      </c>
      <c r="B19" s="129" t="s">
        <v>527</v>
      </c>
      <c r="C19" s="149">
        <v>53.08</v>
      </c>
      <c r="D19" s="149">
        <v>72.32</v>
      </c>
      <c r="E19" s="149">
        <v>84.5</v>
      </c>
      <c r="F19" s="152">
        <v>88.61</v>
      </c>
      <c r="G19" s="150">
        <v>95</v>
      </c>
      <c r="H19" s="150">
        <v>99.75</v>
      </c>
      <c r="I19" s="150">
        <v>104.74</v>
      </c>
      <c r="J19" s="149">
        <v>109.97</v>
      </c>
      <c r="K19" s="149">
        <v>115.47</v>
      </c>
      <c r="L19" s="151">
        <f aca="true" t="shared" si="1" ref="L19:O20">K19*110%</f>
        <v>127.01700000000001</v>
      </c>
      <c r="M19" s="151">
        <f t="shared" si="1"/>
        <v>139.7187</v>
      </c>
      <c r="N19" s="151">
        <f t="shared" si="1"/>
        <v>153.69057000000004</v>
      </c>
      <c r="O19" s="151">
        <f t="shared" si="1"/>
        <v>169.05962700000006</v>
      </c>
    </row>
    <row r="20" spans="1:15" ht="24" customHeight="1">
      <c r="A20" s="131">
        <v>5</v>
      </c>
      <c r="B20" s="129" t="s">
        <v>526</v>
      </c>
      <c r="C20" s="149">
        <v>3.46</v>
      </c>
      <c r="D20" s="149">
        <v>6.68</v>
      </c>
      <c r="E20" s="149">
        <v>2.94</v>
      </c>
      <c r="F20" s="152">
        <v>3.79</v>
      </c>
      <c r="G20" s="150">
        <v>9.68</v>
      </c>
      <c r="H20" s="150">
        <v>10.16</v>
      </c>
      <c r="I20" s="150">
        <v>10.67</v>
      </c>
      <c r="J20" s="149">
        <v>11.21</v>
      </c>
      <c r="K20" s="149">
        <v>11.77</v>
      </c>
      <c r="L20" s="151">
        <f t="shared" si="1"/>
        <v>12.947000000000001</v>
      </c>
      <c r="M20" s="151">
        <f t="shared" si="1"/>
        <v>14.241700000000002</v>
      </c>
      <c r="N20" s="151">
        <f t="shared" si="1"/>
        <v>15.665870000000004</v>
      </c>
      <c r="O20" s="151">
        <f t="shared" si="1"/>
        <v>17.232457000000004</v>
      </c>
    </row>
    <row r="21" spans="1:2" ht="24" customHeight="1">
      <c r="A21" s="131">
        <v>6</v>
      </c>
      <c r="B21" s="132" t="s">
        <v>518</v>
      </c>
    </row>
    <row r="22" spans="1:2" ht="32.25" customHeight="1">
      <c r="A22" s="131">
        <v>7</v>
      </c>
      <c r="B22" s="132" t="s">
        <v>517</v>
      </c>
    </row>
    <row r="23" spans="1:15" ht="24" customHeight="1">
      <c r="A23" s="131"/>
      <c r="B23" s="129"/>
      <c r="C23" s="162"/>
      <c r="D23" s="162"/>
      <c r="E23" s="162"/>
      <c r="F23" s="162"/>
      <c r="G23" s="163"/>
      <c r="H23" s="163"/>
      <c r="I23" s="163"/>
      <c r="J23" s="162"/>
      <c r="K23" s="162"/>
      <c r="L23" s="162"/>
      <c r="M23" s="162"/>
      <c r="N23" s="162"/>
      <c r="O23" s="162"/>
    </row>
    <row r="24" spans="1:15" ht="24" customHeight="1">
      <c r="A24" s="129"/>
      <c r="B24" s="128" t="s">
        <v>492</v>
      </c>
      <c r="C24" s="162">
        <f aca="true" t="shared" si="2" ref="C24:O24">SUM(C16:C23)</f>
        <v>291.76</v>
      </c>
      <c r="D24" s="162">
        <f t="shared" si="2"/>
        <v>296.05</v>
      </c>
      <c r="E24" s="162">
        <f t="shared" si="2"/>
        <v>324.21999999999997</v>
      </c>
      <c r="F24" s="162">
        <f t="shared" si="2"/>
        <v>374.94000000000005</v>
      </c>
      <c r="G24" s="163">
        <f t="shared" si="2"/>
        <v>423.03000000000003</v>
      </c>
      <c r="H24" s="163">
        <f t="shared" si="2"/>
        <v>444.18</v>
      </c>
      <c r="I24" s="163">
        <f t="shared" si="2"/>
        <v>466.39000000000004</v>
      </c>
      <c r="J24" s="162">
        <f t="shared" si="2"/>
        <v>489.71</v>
      </c>
      <c r="K24" s="162">
        <f t="shared" si="2"/>
        <v>514.1999999999999</v>
      </c>
      <c r="L24" s="162">
        <f t="shared" si="2"/>
        <v>565.62</v>
      </c>
      <c r="M24" s="162">
        <f t="shared" si="2"/>
        <v>622.182</v>
      </c>
      <c r="N24" s="162">
        <f t="shared" si="2"/>
        <v>684.4002</v>
      </c>
      <c r="O24" s="162">
        <f t="shared" si="2"/>
        <v>752.8402200000002</v>
      </c>
    </row>
    <row r="25" ht="15">
      <c r="A25" s="127"/>
    </row>
    <row r="26" ht="15">
      <c r="B26" s="126"/>
    </row>
    <row r="27" ht="15">
      <c r="B27" s="126"/>
    </row>
    <row r="28" ht="18.75">
      <c r="O28" s="143" t="s">
        <v>525</v>
      </c>
    </row>
    <row r="29" spans="1:15" ht="18.75">
      <c r="A29" s="275" t="s">
        <v>522</v>
      </c>
      <c r="B29" s="275"/>
      <c r="C29" s="275"/>
      <c r="D29" s="275"/>
      <c r="E29" s="275"/>
      <c r="F29" s="275"/>
      <c r="G29" s="276"/>
      <c r="H29" s="276"/>
      <c r="I29" s="276"/>
      <c r="J29" s="275"/>
      <c r="K29" s="275"/>
      <c r="L29" s="275"/>
      <c r="M29" s="275"/>
      <c r="N29" s="275"/>
      <c r="O29" s="275"/>
    </row>
    <row r="30" spans="1:15" ht="15">
      <c r="A30" s="372"/>
      <c r="B30" s="372"/>
      <c r="C30" s="372"/>
      <c r="D30" s="372"/>
      <c r="E30" s="372"/>
      <c r="F30" s="372"/>
      <c r="G30" s="372"/>
      <c r="H30" s="372"/>
      <c r="I30" s="372"/>
      <c r="J30" s="372"/>
      <c r="K30" s="47"/>
      <c r="L30" s="47"/>
      <c r="M30" s="47"/>
      <c r="N30" s="47"/>
      <c r="O30" s="47"/>
    </row>
    <row r="31" spans="1:15" ht="18.75">
      <c r="A31" s="369" t="s">
        <v>524</v>
      </c>
      <c r="B31" s="369"/>
      <c r="C31" s="369"/>
      <c r="D31" s="369"/>
      <c r="E31" s="369"/>
      <c r="F31" s="369"/>
      <c r="G31" s="369"/>
      <c r="H31" s="369"/>
      <c r="I31" s="369"/>
      <c r="J31" s="369"/>
      <c r="K31" s="369"/>
      <c r="L31" s="369"/>
      <c r="M31" s="369"/>
      <c r="N31" s="369"/>
      <c r="O31" s="369"/>
    </row>
    <row r="32" spans="1:15" ht="18.75">
      <c r="A32" s="369"/>
      <c r="B32" s="369"/>
      <c r="C32" s="369"/>
      <c r="D32" s="369"/>
      <c r="E32" s="369"/>
      <c r="F32" s="369"/>
      <c r="G32" s="369"/>
      <c r="H32" s="369"/>
      <c r="I32" s="369"/>
      <c r="J32" s="369"/>
      <c r="K32" s="369"/>
      <c r="L32" s="369"/>
      <c r="M32" s="369"/>
      <c r="N32" s="369"/>
      <c r="O32" s="369"/>
    </row>
    <row r="33" spans="1:15" s="141" customFormat="1" ht="24.75" customHeight="1">
      <c r="A33" s="129"/>
      <c r="B33" s="129"/>
      <c r="C33" s="370" t="s">
        <v>481</v>
      </c>
      <c r="D33" s="370"/>
      <c r="E33" s="370"/>
      <c r="F33" s="370"/>
      <c r="G33" s="370"/>
      <c r="H33" s="370"/>
      <c r="I33" s="370"/>
      <c r="J33" s="370"/>
      <c r="K33" s="371" t="s">
        <v>507</v>
      </c>
      <c r="L33" s="371"/>
      <c r="M33" s="371"/>
      <c r="N33" s="371"/>
      <c r="O33" s="371"/>
    </row>
    <row r="34" spans="1:15" s="137" customFormat="1" ht="48.75" customHeight="1">
      <c r="A34" s="140" t="s">
        <v>38</v>
      </c>
      <c r="B34" s="140" t="s">
        <v>506</v>
      </c>
      <c r="C34" s="139" t="s">
        <v>36</v>
      </c>
      <c r="D34" s="139" t="s">
        <v>35</v>
      </c>
      <c r="E34" s="139" t="s">
        <v>34</v>
      </c>
      <c r="F34" s="138" t="s">
        <v>33</v>
      </c>
      <c r="G34" s="138" t="s">
        <v>32</v>
      </c>
      <c r="H34" s="138" t="s">
        <v>31</v>
      </c>
      <c r="I34" s="138" t="s">
        <v>30</v>
      </c>
      <c r="J34" s="138" t="s">
        <v>29</v>
      </c>
      <c r="K34" s="138" t="s">
        <v>28</v>
      </c>
      <c r="L34" s="138" t="s">
        <v>27</v>
      </c>
      <c r="M34" s="138" t="s">
        <v>26</v>
      </c>
      <c r="N34" s="138" t="s">
        <v>25</v>
      </c>
      <c r="O34" s="138" t="s">
        <v>24</v>
      </c>
    </row>
    <row r="35" spans="1:15" ht="24" customHeight="1">
      <c r="A35" s="136" t="s">
        <v>16</v>
      </c>
      <c r="B35" s="135" t="s">
        <v>505</v>
      </c>
      <c r="C35" s="134"/>
      <c r="D35" s="134"/>
      <c r="E35" s="134"/>
      <c r="F35" s="133"/>
      <c r="G35" s="133"/>
      <c r="H35" s="133"/>
      <c r="I35" s="133"/>
      <c r="J35" s="133"/>
      <c r="K35" s="133"/>
      <c r="L35" s="133"/>
      <c r="M35" s="133"/>
      <c r="N35" s="133"/>
      <c r="O35" s="133"/>
    </row>
    <row r="36" spans="1:15" ht="24" customHeight="1">
      <c r="A36" s="136"/>
      <c r="B36" s="129" t="s">
        <v>504</v>
      </c>
      <c r="C36" s="139"/>
      <c r="D36" s="139"/>
      <c r="E36" s="139"/>
      <c r="F36" s="138"/>
      <c r="G36" s="138"/>
      <c r="H36" s="138"/>
      <c r="I36" s="138"/>
      <c r="J36" s="138"/>
      <c r="K36" s="138"/>
      <c r="L36" s="138"/>
      <c r="M36" s="138"/>
      <c r="N36" s="138"/>
      <c r="O36" s="138"/>
    </row>
    <row r="37" spans="1:15" ht="24" customHeight="1">
      <c r="A37" s="136"/>
      <c r="B37" s="129" t="s">
        <v>503</v>
      </c>
      <c r="C37" s="139"/>
      <c r="D37" s="139"/>
      <c r="E37" s="139"/>
      <c r="F37" s="138"/>
      <c r="G37" s="138"/>
      <c r="H37" s="138"/>
      <c r="I37" s="138"/>
      <c r="J37" s="138"/>
      <c r="K37" s="138"/>
      <c r="L37" s="138"/>
      <c r="M37" s="138"/>
      <c r="N37" s="138"/>
      <c r="O37" s="138"/>
    </row>
    <row r="38" spans="1:15" ht="24" customHeight="1">
      <c r="A38" s="136"/>
      <c r="B38" s="129" t="s">
        <v>502</v>
      </c>
      <c r="C38" s="139"/>
      <c r="D38" s="139"/>
      <c r="E38" s="139"/>
      <c r="F38" s="138"/>
      <c r="G38" s="138"/>
      <c r="H38" s="138"/>
      <c r="I38" s="138"/>
      <c r="J38" s="138"/>
      <c r="K38" s="138"/>
      <c r="L38" s="138"/>
      <c r="M38" s="138"/>
      <c r="N38" s="138"/>
      <c r="O38" s="138"/>
    </row>
    <row r="39" spans="1:15" ht="24" customHeight="1">
      <c r="A39" s="136"/>
      <c r="B39" s="129" t="s">
        <v>501</v>
      </c>
      <c r="C39" s="139"/>
      <c r="D39" s="139"/>
      <c r="E39" s="139"/>
      <c r="F39" s="138"/>
      <c r="G39" s="138"/>
      <c r="H39" s="138"/>
      <c r="I39" s="138"/>
      <c r="J39" s="138"/>
      <c r="K39" s="138"/>
      <c r="L39" s="138"/>
      <c r="M39" s="138"/>
      <c r="N39" s="138"/>
      <c r="O39" s="138"/>
    </row>
    <row r="40" spans="1:15" ht="24" customHeight="1">
      <c r="A40" s="136"/>
      <c r="B40" s="129" t="s">
        <v>500</v>
      </c>
      <c r="C40" s="157">
        <v>9</v>
      </c>
      <c r="D40" s="156">
        <v>0</v>
      </c>
      <c r="E40" s="156">
        <v>0</v>
      </c>
      <c r="F40" s="156">
        <f>5.15</f>
        <v>5.15</v>
      </c>
      <c r="G40" s="161">
        <v>4.6</v>
      </c>
      <c r="H40" s="151">
        <f>7.5+0.5+5.06</f>
        <v>13.059999999999999</v>
      </c>
      <c r="I40" s="151">
        <f>8.7+5.57</f>
        <v>14.27</v>
      </c>
      <c r="J40" s="161">
        <v>14.9226</v>
      </c>
      <c r="K40" s="161">
        <v>16.414859999999997</v>
      </c>
      <c r="L40" s="161">
        <v>18.056345999999998</v>
      </c>
      <c r="M40" s="161">
        <v>19.8619806</v>
      </c>
      <c r="N40" s="161">
        <v>21.84817866</v>
      </c>
      <c r="O40" s="161">
        <v>24.032996525999998</v>
      </c>
    </row>
    <row r="41" spans="1:15" ht="24" customHeight="1">
      <c r="A41" s="136"/>
      <c r="B41" s="136" t="s">
        <v>499</v>
      </c>
      <c r="C41" s="154">
        <f aca="true" t="shared" si="3" ref="C41:O41">SUM(C36:C40)</f>
        <v>9</v>
      </c>
      <c r="D41" s="154">
        <f t="shared" si="3"/>
        <v>0</v>
      </c>
      <c r="E41" s="154">
        <f t="shared" si="3"/>
        <v>0</v>
      </c>
      <c r="F41" s="154">
        <f t="shared" si="3"/>
        <v>5.15</v>
      </c>
      <c r="G41" s="155">
        <f t="shared" si="3"/>
        <v>4.6</v>
      </c>
      <c r="H41" s="155">
        <f t="shared" si="3"/>
        <v>13.059999999999999</v>
      </c>
      <c r="I41" s="155">
        <f t="shared" si="3"/>
        <v>14.27</v>
      </c>
      <c r="J41" s="154">
        <f t="shared" si="3"/>
        <v>14.9226</v>
      </c>
      <c r="K41" s="154">
        <f t="shared" si="3"/>
        <v>16.414859999999997</v>
      </c>
      <c r="L41" s="154">
        <f t="shared" si="3"/>
        <v>18.056345999999998</v>
      </c>
      <c r="M41" s="154">
        <f t="shared" si="3"/>
        <v>19.8619806</v>
      </c>
      <c r="N41" s="154">
        <f t="shared" si="3"/>
        <v>21.84817866</v>
      </c>
      <c r="O41" s="154">
        <f t="shared" si="3"/>
        <v>24.032996525999998</v>
      </c>
    </row>
    <row r="42" spans="1:15" ht="24" customHeight="1">
      <c r="A42" s="136" t="s">
        <v>14</v>
      </c>
      <c r="B42" s="135" t="s">
        <v>498</v>
      </c>
      <c r="C42" s="154"/>
      <c r="D42" s="154"/>
      <c r="E42" s="154"/>
      <c r="F42" s="148"/>
      <c r="G42" s="148"/>
      <c r="H42" s="148"/>
      <c r="I42" s="148"/>
      <c r="J42" s="148"/>
      <c r="K42" s="148"/>
      <c r="L42" s="148"/>
      <c r="M42" s="148"/>
      <c r="N42" s="148"/>
      <c r="O42" s="148"/>
    </row>
    <row r="43" spans="1:15" ht="24" customHeight="1">
      <c r="A43" s="131">
        <v>1</v>
      </c>
      <c r="B43" s="129" t="s">
        <v>497</v>
      </c>
      <c r="C43" s="158"/>
      <c r="D43" s="158"/>
      <c r="E43" s="158"/>
      <c r="F43" s="158"/>
      <c r="G43" s="159"/>
      <c r="H43" s="159"/>
      <c r="I43" s="159"/>
      <c r="J43" s="158"/>
      <c r="K43" s="158"/>
      <c r="L43" s="158"/>
      <c r="M43" s="158"/>
      <c r="N43" s="158"/>
      <c r="O43" s="158"/>
    </row>
    <row r="44" spans="1:15" ht="24" customHeight="1">
      <c r="A44" s="131">
        <v>2</v>
      </c>
      <c r="B44" s="129" t="s">
        <v>496</v>
      </c>
      <c r="C44" s="158">
        <v>28.67</v>
      </c>
      <c r="D44" s="158">
        <v>40.8</v>
      </c>
      <c r="E44" s="158">
        <v>42.7</v>
      </c>
      <c r="F44" s="160">
        <f>39.92+8.56+44.42</f>
        <v>92.9</v>
      </c>
      <c r="G44" s="159">
        <v>130.28</v>
      </c>
      <c r="H44" s="151">
        <f>55.22+18.49+60.85</f>
        <v>134.56</v>
      </c>
      <c r="I44" s="151">
        <f>42.76+20.34+66.94</f>
        <v>130.04</v>
      </c>
      <c r="J44" s="160">
        <v>69.41</v>
      </c>
      <c r="K44" s="160">
        <v>76.351</v>
      </c>
      <c r="L44" s="160">
        <v>83.9861</v>
      </c>
      <c r="M44" s="160">
        <v>92.38471</v>
      </c>
      <c r="N44" s="160">
        <v>101.623181</v>
      </c>
      <c r="O44" s="160">
        <v>111.78549910000001</v>
      </c>
    </row>
    <row r="45" spans="1:15" ht="24" customHeight="1">
      <c r="A45" s="131">
        <v>3</v>
      </c>
      <c r="B45" s="129" t="s">
        <v>495</v>
      </c>
      <c r="C45" s="158"/>
      <c r="D45" s="158"/>
      <c r="E45" s="158"/>
      <c r="F45" s="158"/>
      <c r="G45" s="159"/>
      <c r="H45" s="151"/>
      <c r="I45" s="151"/>
      <c r="J45" s="158"/>
      <c r="K45" s="158"/>
      <c r="L45" s="158"/>
      <c r="M45" s="158"/>
      <c r="N45" s="158"/>
      <c r="O45" s="158"/>
    </row>
    <row r="46" spans="1:15" ht="24" customHeight="1">
      <c r="A46" s="131">
        <v>4</v>
      </c>
      <c r="B46" s="132" t="s">
        <v>520</v>
      </c>
      <c r="C46" s="158">
        <v>12.72</v>
      </c>
      <c r="D46" s="158">
        <v>6.95</v>
      </c>
      <c r="E46" s="158">
        <v>6.18</v>
      </c>
      <c r="F46" s="158">
        <f>4.42+4.98+2.91</f>
        <v>12.31</v>
      </c>
      <c r="G46" s="159">
        <v>19.09</v>
      </c>
      <c r="H46" s="151">
        <f>19+3.33+5.35</f>
        <v>27.68</v>
      </c>
      <c r="I46" s="151">
        <f>21.15+3.66+5.88</f>
        <v>30.689999999999998</v>
      </c>
      <c r="J46" s="160">
        <v>27.290999999999997</v>
      </c>
      <c r="K46" s="160">
        <v>30.020099999999996</v>
      </c>
      <c r="L46" s="160">
        <v>33.02211</v>
      </c>
      <c r="M46" s="160">
        <v>36.324321</v>
      </c>
      <c r="N46" s="160">
        <v>39.9567531</v>
      </c>
      <c r="O46" s="160">
        <v>43.95242841</v>
      </c>
    </row>
    <row r="47" spans="1:15" ht="24" customHeight="1">
      <c r="A47" s="131">
        <v>5</v>
      </c>
      <c r="B47" s="132" t="s">
        <v>519</v>
      </c>
      <c r="C47" s="158">
        <v>0.56</v>
      </c>
      <c r="D47" s="158">
        <v>0.93</v>
      </c>
      <c r="E47" s="158">
        <v>0.8</v>
      </c>
      <c r="F47" s="158">
        <f>0.06+0.42+0.76</f>
        <v>1.24</v>
      </c>
      <c r="G47" s="159">
        <v>4.53</v>
      </c>
      <c r="H47" s="151">
        <f>0.85+0.5+3.43</f>
        <v>4.78</v>
      </c>
      <c r="I47" s="151">
        <f>0.87+0.56+3.78</f>
        <v>5.21</v>
      </c>
      <c r="J47" s="160">
        <v>1.5730000000000002</v>
      </c>
      <c r="K47" s="160">
        <v>1.7303000000000002</v>
      </c>
      <c r="L47" s="160">
        <v>1.9033300000000002</v>
      </c>
      <c r="M47" s="160">
        <v>2.0936630000000003</v>
      </c>
      <c r="N47" s="160">
        <v>2.3030293000000004</v>
      </c>
      <c r="O47" s="160">
        <v>2.5333322300000005</v>
      </c>
    </row>
    <row r="48" spans="1:15" ht="24" customHeight="1">
      <c r="A48" s="131">
        <v>6</v>
      </c>
      <c r="B48" s="132" t="s">
        <v>518</v>
      </c>
      <c r="C48" s="158">
        <v>0.01</v>
      </c>
      <c r="D48" s="158">
        <v>0</v>
      </c>
      <c r="E48" s="158"/>
      <c r="F48" s="158">
        <f>0.01+0.12</f>
        <v>0.13</v>
      </c>
      <c r="G48" s="159">
        <v>0.28</v>
      </c>
      <c r="H48" s="151">
        <f>0.5</f>
        <v>0.5</v>
      </c>
      <c r="I48" s="151">
        <f>0</f>
        <v>0</v>
      </c>
      <c r="J48" s="158"/>
      <c r="K48" s="158"/>
      <c r="L48" s="158"/>
      <c r="M48" s="158"/>
      <c r="N48" s="158"/>
      <c r="O48" s="158"/>
    </row>
    <row r="49" spans="1:15" ht="30">
      <c r="A49" s="131">
        <v>7</v>
      </c>
      <c r="B49" s="132" t="s">
        <v>517</v>
      </c>
      <c r="C49" s="158">
        <v>0.03</v>
      </c>
      <c r="D49" s="158">
        <v>0.4</v>
      </c>
      <c r="E49" s="158">
        <v>0.26</v>
      </c>
      <c r="F49" s="158">
        <f>0.47+0.9+0.07</f>
        <v>1.4400000000000002</v>
      </c>
      <c r="G49" s="159">
        <v>4.54</v>
      </c>
      <c r="H49" s="151">
        <f>0.5+1.05+1</f>
        <v>2.55</v>
      </c>
      <c r="I49" s="151">
        <f>0.5+1.16+1.1</f>
        <v>2.76</v>
      </c>
      <c r="J49" s="160">
        <v>1.8259999999999998</v>
      </c>
      <c r="K49" s="160">
        <v>2.0086</v>
      </c>
      <c r="L49" s="160">
        <v>2.20946</v>
      </c>
      <c r="M49" s="160">
        <v>2.430406</v>
      </c>
      <c r="N49" s="160">
        <v>2.6734466</v>
      </c>
      <c r="O49" s="160">
        <v>2.94079126</v>
      </c>
    </row>
    <row r="50" spans="1:15" ht="24" customHeight="1">
      <c r="A50" s="131"/>
      <c r="B50" s="129"/>
      <c r="C50" s="158"/>
      <c r="D50" s="158"/>
      <c r="E50" s="158"/>
      <c r="F50" s="158"/>
      <c r="G50" s="159"/>
      <c r="H50" s="159"/>
      <c r="I50" s="159"/>
      <c r="J50" s="158"/>
      <c r="K50" s="158"/>
      <c r="L50" s="158"/>
      <c r="M50" s="158"/>
      <c r="N50" s="158"/>
      <c r="O50" s="158"/>
    </row>
    <row r="51" spans="1:15" ht="24" customHeight="1">
      <c r="A51" s="129"/>
      <c r="B51" s="128" t="s">
        <v>492</v>
      </c>
      <c r="C51" s="158">
        <f aca="true" t="shared" si="4" ref="C51:O51">SUM(C43:C50)</f>
        <v>41.99</v>
      </c>
      <c r="D51" s="158">
        <f t="shared" si="4"/>
        <v>49.08</v>
      </c>
      <c r="E51" s="158">
        <f t="shared" si="4"/>
        <v>49.94</v>
      </c>
      <c r="F51" s="158">
        <f t="shared" si="4"/>
        <v>108.02</v>
      </c>
      <c r="G51" s="159">
        <f t="shared" si="4"/>
        <v>158.72</v>
      </c>
      <c r="H51" s="159">
        <f t="shared" si="4"/>
        <v>170.07000000000002</v>
      </c>
      <c r="I51" s="159">
        <f t="shared" si="4"/>
        <v>168.7</v>
      </c>
      <c r="J51" s="158">
        <f t="shared" si="4"/>
        <v>100.09999999999998</v>
      </c>
      <c r="K51" s="158">
        <f t="shared" si="4"/>
        <v>110.11</v>
      </c>
      <c r="L51" s="158">
        <f t="shared" si="4"/>
        <v>121.12099999999998</v>
      </c>
      <c r="M51" s="158">
        <f t="shared" si="4"/>
        <v>133.23309999999998</v>
      </c>
      <c r="N51" s="158">
        <f t="shared" si="4"/>
        <v>146.55641</v>
      </c>
      <c r="O51" s="158">
        <f t="shared" si="4"/>
        <v>161.21205100000003</v>
      </c>
    </row>
    <row r="52" ht="15">
      <c r="A52" s="127"/>
    </row>
    <row r="53" ht="18.75">
      <c r="O53" s="143" t="s">
        <v>523</v>
      </c>
    </row>
    <row r="54" spans="1:15" ht="18.75">
      <c r="A54" s="275" t="s">
        <v>522</v>
      </c>
      <c r="B54" s="275"/>
      <c r="C54" s="275"/>
      <c r="D54" s="275"/>
      <c r="E54" s="275"/>
      <c r="F54" s="275"/>
      <c r="G54" s="276"/>
      <c r="H54" s="276"/>
      <c r="I54" s="276"/>
      <c r="J54" s="275"/>
      <c r="K54" s="275"/>
      <c r="L54" s="275"/>
      <c r="M54" s="275"/>
      <c r="N54" s="275"/>
      <c r="O54" s="275"/>
    </row>
    <row r="55" spans="1:15" ht="15">
      <c r="A55" s="372"/>
      <c r="B55" s="372"/>
      <c r="C55" s="372"/>
      <c r="D55" s="372"/>
      <c r="E55" s="372"/>
      <c r="F55" s="372"/>
      <c r="G55" s="372"/>
      <c r="H55" s="372"/>
      <c r="I55" s="372"/>
      <c r="J55" s="372"/>
      <c r="K55" s="47"/>
      <c r="L55" s="47"/>
      <c r="M55" s="47"/>
      <c r="N55" s="47"/>
      <c r="O55" s="47"/>
    </row>
    <row r="56" spans="1:15" ht="18.75">
      <c r="A56" s="369" t="s">
        <v>521</v>
      </c>
      <c r="B56" s="369"/>
      <c r="C56" s="369"/>
      <c r="D56" s="369"/>
      <c r="E56" s="369"/>
      <c r="F56" s="369"/>
      <c r="G56" s="369"/>
      <c r="H56" s="369"/>
      <c r="I56" s="369"/>
      <c r="J56" s="369"/>
      <c r="K56" s="369"/>
      <c r="L56" s="369"/>
      <c r="M56" s="369"/>
      <c r="N56" s="369"/>
      <c r="O56" s="369"/>
    </row>
    <row r="57" spans="1:15" ht="18.75">
      <c r="A57" s="369"/>
      <c r="B57" s="369"/>
      <c r="C57" s="369"/>
      <c r="D57" s="369"/>
      <c r="E57" s="369"/>
      <c r="F57" s="369"/>
      <c r="G57" s="369"/>
      <c r="H57" s="369"/>
      <c r="I57" s="369"/>
      <c r="J57" s="369"/>
      <c r="K57" s="369"/>
      <c r="L57" s="369"/>
      <c r="M57" s="369"/>
      <c r="N57" s="369"/>
      <c r="O57" s="369"/>
    </row>
    <row r="58" spans="1:15" s="141" customFormat="1" ht="24.75" customHeight="1">
      <c r="A58" s="129"/>
      <c r="B58" s="129"/>
      <c r="C58" s="370" t="s">
        <v>481</v>
      </c>
      <c r="D58" s="370"/>
      <c r="E58" s="370"/>
      <c r="F58" s="370"/>
      <c r="G58" s="370"/>
      <c r="H58" s="370"/>
      <c r="I58" s="370"/>
      <c r="J58" s="370"/>
      <c r="K58" s="371" t="s">
        <v>507</v>
      </c>
      <c r="L58" s="371"/>
      <c r="M58" s="371"/>
      <c r="N58" s="371"/>
      <c r="O58" s="371"/>
    </row>
    <row r="59" spans="1:15" s="137" customFormat="1" ht="48.75" customHeight="1">
      <c r="A59" s="140" t="s">
        <v>38</v>
      </c>
      <c r="B59" s="140" t="s">
        <v>506</v>
      </c>
      <c r="C59" s="139" t="s">
        <v>36</v>
      </c>
      <c r="D59" s="139" t="s">
        <v>35</v>
      </c>
      <c r="E59" s="139" t="s">
        <v>34</v>
      </c>
      <c r="F59" s="138" t="s">
        <v>33</v>
      </c>
      <c r="G59" s="138" t="s">
        <v>32</v>
      </c>
      <c r="H59" s="138" t="s">
        <v>31</v>
      </c>
      <c r="I59" s="138" t="s">
        <v>30</v>
      </c>
      <c r="J59" s="138" t="s">
        <v>29</v>
      </c>
      <c r="K59" s="138" t="s">
        <v>28</v>
      </c>
      <c r="L59" s="138" t="s">
        <v>27</v>
      </c>
      <c r="M59" s="138" t="s">
        <v>26</v>
      </c>
      <c r="N59" s="138" t="s">
        <v>25</v>
      </c>
      <c r="O59" s="138" t="s">
        <v>24</v>
      </c>
    </row>
    <row r="60" spans="1:15" ht="24" customHeight="1">
      <c r="A60" s="136" t="s">
        <v>16</v>
      </c>
      <c r="B60" s="135" t="s">
        <v>505</v>
      </c>
      <c r="C60" s="139"/>
      <c r="D60" s="139"/>
      <c r="E60" s="139"/>
      <c r="F60" s="138"/>
      <c r="G60" s="138"/>
      <c r="H60" s="138"/>
      <c r="I60" s="138"/>
      <c r="J60" s="138"/>
      <c r="K60" s="138"/>
      <c r="L60" s="138"/>
      <c r="M60" s="138"/>
      <c r="N60" s="138"/>
      <c r="O60" s="138"/>
    </row>
    <row r="61" spans="1:15" ht="24" customHeight="1">
      <c r="A61" s="136"/>
      <c r="B61" s="129" t="s">
        <v>504</v>
      </c>
      <c r="C61" s="139"/>
      <c r="D61" s="139"/>
      <c r="E61" s="139"/>
      <c r="F61" s="138"/>
      <c r="G61" s="138"/>
      <c r="H61" s="138"/>
      <c r="I61" s="138"/>
      <c r="J61" s="138"/>
      <c r="K61" s="138"/>
      <c r="L61" s="138"/>
      <c r="M61" s="138"/>
      <c r="N61" s="138"/>
      <c r="O61" s="138"/>
    </row>
    <row r="62" spans="1:15" ht="24" customHeight="1">
      <c r="A62" s="136"/>
      <c r="B62" s="129" t="s">
        <v>503</v>
      </c>
      <c r="C62" s="139"/>
      <c r="D62" s="139"/>
      <c r="E62" s="139"/>
      <c r="F62" s="138"/>
      <c r="G62" s="138"/>
      <c r="H62" s="138"/>
      <c r="I62" s="138"/>
      <c r="J62" s="138"/>
      <c r="K62" s="138"/>
      <c r="L62" s="138"/>
      <c r="M62" s="138"/>
      <c r="N62" s="138"/>
      <c r="O62" s="138"/>
    </row>
    <row r="63" spans="1:15" ht="24" customHeight="1">
      <c r="A63" s="136"/>
      <c r="B63" s="129" t="s">
        <v>502</v>
      </c>
      <c r="C63" s="139"/>
      <c r="D63" s="139"/>
      <c r="E63" s="139"/>
      <c r="F63" s="138"/>
      <c r="G63" s="138"/>
      <c r="H63" s="138"/>
      <c r="I63" s="138"/>
      <c r="J63" s="138"/>
      <c r="K63" s="138"/>
      <c r="L63" s="138"/>
      <c r="M63" s="138"/>
      <c r="N63" s="138"/>
      <c r="O63" s="138"/>
    </row>
    <row r="64" spans="1:15" ht="24" customHeight="1">
      <c r="A64" s="136"/>
      <c r="B64" s="129" t="s">
        <v>501</v>
      </c>
      <c r="C64" s="139"/>
      <c r="D64" s="139"/>
      <c r="E64" s="139"/>
      <c r="F64" s="138"/>
      <c r="G64" s="138"/>
      <c r="H64" s="138"/>
      <c r="I64" s="138"/>
      <c r="J64" s="138"/>
      <c r="K64" s="138"/>
      <c r="L64" s="138"/>
      <c r="M64" s="138"/>
      <c r="N64" s="138"/>
      <c r="O64" s="138"/>
    </row>
    <row r="65" spans="1:15" ht="24" customHeight="1">
      <c r="A65" s="136"/>
      <c r="B65" s="129" t="s">
        <v>500</v>
      </c>
      <c r="C65" s="157">
        <f>7+18.51+4.87+2.43</f>
        <v>32.81</v>
      </c>
      <c r="D65" s="156">
        <f>1.52+4.8+0.77+0</f>
        <v>7.09</v>
      </c>
      <c r="E65" s="156">
        <f>9+5.84+11.71+1.4</f>
        <v>27.95</v>
      </c>
      <c r="F65" s="156">
        <f>7.56+7.51+4.04</f>
        <v>19.11</v>
      </c>
      <c r="G65" s="151">
        <f>22.22+7.93+2.65</f>
        <v>32.8</v>
      </c>
      <c r="H65" s="151">
        <f>2.92+22.22+8.72</f>
        <v>33.86</v>
      </c>
      <c r="I65" s="151">
        <f>3.21+24.44+9.6</f>
        <v>37.25</v>
      </c>
      <c r="J65" s="151">
        <f aca="true" t="shared" si="5" ref="J65:O65">I65*110%</f>
        <v>40.975</v>
      </c>
      <c r="K65" s="151">
        <f t="shared" si="5"/>
        <v>45.072500000000005</v>
      </c>
      <c r="L65" s="151">
        <f t="shared" si="5"/>
        <v>49.57975000000001</v>
      </c>
      <c r="M65" s="151">
        <f t="shared" si="5"/>
        <v>54.537725000000016</v>
      </c>
      <c r="N65" s="151">
        <f t="shared" si="5"/>
        <v>59.99149750000002</v>
      </c>
      <c r="O65" s="151">
        <f t="shared" si="5"/>
        <v>65.99064725000002</v>
      </c>
    </row>
    <row r="66" spans="1:15" ht="24" customHeight="1">
      <c r="A66" s="136"/>
      <c r="B66" s="136" t="s">
        <v>499</v>
      </c>
      <c r="C66" s="154">
        <f aca="true" t="shared" si="6" ref="C66:O66">SUM(C61:C65)</f>
        <v>32.81</v>
      </c>
      <c r="D66" s="154">
        <f t="shared" si="6"/>
        <v>7.09</v>
      </c>
      <c r="E66" s="154">
        <f t="shared" si="6"/>
        <v>27.95</v>
      </c>
      <c r="F66" s="154">
        <f t="shared" si="6"/>
        <v>19.11</v>
      </c>
      <c r="G66" s="155">
        <f t="shared" si="6"/>
        <v>32.8</v>
      </c>
      <c r="H66" s="155">
        <f t="shared" si="6"/>
        <v>33.86</v>
      </c>
      <c r="I66" s="155">
        <f t="shared" si="6"/>
        <v>37.25</v>
      </c>
      <c r="J66" s="154">
        <f t="shared" si="6"/>
        <v>40.975</v>
      </c>
      <c r="K66" s="154">
        <f t="shared" si="6"/>
        <v>45.072500000000005</v>
      </c>
      <c r="L66" s="154">
        <f t="shared" si="6"/>
        <v>49.57975000000001</v>
      </c>
      <c r="M66" s="154">
        <f t="shared" si="6"/>
        <v>54.537725000000016</v>
      </c>
      <c r="N66" s="154">
        <f t="shared" si="6"/>
        <v>59.99149750000002</v>
      </c>
      <c r="O66" s="154">
        <f t="shared" si="6"/>
        <v>65.99064725000002</v>
      </c>
    </row>
    <row r="67" spans="1:15" ht="24" customHeight="1">
      <c r="A67" s="136" t="s">
        <v>14</v>
      </c>
      <c r="B67" s="135" t="s">
        <v>498</v>
      </c>
      <c r="C67" s="134"/>
      <c r="D67" s="134"/>
      <c r="E67" s="134"/>
      <c r="F67" s="133"/>
      <c r="G67" s="133"/>
      <c r="H67" s="133"/>
      <c r="I67" s="133"/>
      <c r="J67" s="133"/>
      <c r="K67" s="133"/>
      <c r="L67" s="133"/>
      <c r="M67" s="133"/>
      <c r="N67" s="133"/>
      <c r="O67" s="133"/>
    </row>
    <row r="68" spans="1:15" ht="24" customHeight="1">
      <c r="A68" s="131">
        <v>1</v>
      </c>
      <c r="B68" s="129" t="s">
        <v>497</v>
      </c>
      <c r="C68" s="33"/>
      <c r="D68" s="33"/>
      <c r="E68" s="33"/>
      <c r="F68" s="33"/>
      <c r="G68" s="153"/>
      <c r="H68" s="153"/>
      <c r="I68" s="153"/>
      <c r="J68" s="33"/>
      <c r="K68" s="33"/>
      <c r="L68" s="33"/>
      <c r="M68" s="33"/>
      <c r="N68" s="33"/>
      <c r="O68" s="33"/>
    </row>
    <row r="69" spans="1:15" ht="24" customHeight="1">
      <c r="A69" s="131">
        <v>2</v>
      </c>
      <c r="B69" s="129" t="s">
        <v>496</v>
      </c>
      <c r="C69" s="149">
        <f>14.02+6.63+25.31+22.41+10.9</f>
        <v>79.27</v>
      </c>
      <c r="D69" s="149">
        <f>13.13+6.84+31.33+34.92+12.62</f>
        <v>98.84</v>
      </c>
      <c r="E69" s="149">
        <f>22.81+9.06+35.84+38.21+18.1</f>
        <v>124.02000000000001</v>
      </c>
      <c r="F69" s="152">
        <f>34.19+36.52+16.11</f>
        <v>86.82000000000001</v>
      </c>
      <c r="G69" s="151">
        <f>42.98+44.19+23.14</f>
        <v>110.30999999999999</v>
      </c>
      <c r="H69" s="151">
        <f>24.45+43.79+48.21</f>
        <v>116.44999999999999</v>
      </c>
      <c r="I69" s="151">
        <f>26.9+48.08+53.18</f>
        <v>128.16</v>
      </c>
      <c r="J69" s="151">
        <f aca="true" t="shared" si="7" ref="J69:O69">I69*110%</f>
        <v>140.976</v>
      </c>
      <c r="K69" s="151">
        <f t="shared" si="7"/>
        <v>155.0736</v>
      </c>
      <c r="L69" s="151">
        <f t="shared" si="7"/>
        <v>170.58096</v>
      </c>
      <c r="M69" s="151">
        <f t="shared" si="7"/>
        <v>187.639056</v>
      </c>
      <c r="N69" s="151">
        <f t="shared" si="7"/>
        <v>206.40296160000003</v>
      </c>
      <c r="O69" s="151">
        <f t="shared" si="7"/>
        <v>227.04325776000005</v>
      </c>
    </row>
    <row r="70" spans="1:15" ht="24" customHeight="1">
      <c r="A70" s="131">
        <v>3</v>
      </c>
      <c r="B70" s="129" t="s">
        <v>495</v>
      </c>
      <c r="C70" s="149"/>
      <c r="D70" s="149"/>
      <c r="E70" s="149"/>
      <c r="F70" s="149"/>
      <c r="G70" s="151"/>
      <c r="H70" s="151"/>
      <c r="I70" s="151"/>
      <c r="J70" s="152"/>
      <c r="K70" s="152"/>
      <c r="L70" s="152"/>
      <c r="M70" s="152"/>
      <c r="N70" s="152"/>
      <c r="O70" s="152"/>
    </row>
    <row r="71" spans="1:15" ht="24" customHeight="1">
      <c r="A71" s="131">
        <v>4</v>
      </c>
      <c r="B71" s="132" t="s">
        <v>520</v>
      </c>
      <c r="C71" s="149">
        <f>0.24+0.74+0.3+0.01</f>
        <v>1.29</v>
      </c>
      <c r="D71" s="149">
        <f>2.26+0.32</f>
        <v>2.5799999999999996</v>
      </c>
      <c r="E71" s="149">
        <f>5.21+0.47+5.48</f>
        <v>11.16</v>
      </c>
      <c r="F71" s="149">
        <f>0.55+5.64</f>
        <v>6.1899999999999995</v>
      </c>
      <c r="G71" s="151">
        <f>0.5+9.25</f>
        <v>9.75</v>
      </c>
      <c r="H71" s="151">
        <f>10.18+0.5</f>
        <v>10.68</v>
      </c>
      <c r="I71" s="151">
        <f>11.19+0.55</f>
        <v>11.74</v>
      </c>
      <c r="J71" s="151">
        <f aca="true" t="shared" si="8" ref="J71:O74">I71*110%</f>
        <v>12.914000000000001</v>
      </c>
      <c r="K71" s="151">
        <f t="shared" si="8"/>
        <v>14.205400000000003</v>
      </c>
      <c r="L71" s="151">
        <f t="shared" si="8"/>
        <v>15.625940000000003</v>
      </c>
      <c r="M71" s="151">
        <f t="shared" si="8"/>
        <v>17.188534000000004</v>
      </c>
      <c r="N71" s="151">
        <f t="shared" si="8"/>
        <v>18.907387400000005</v>
      </c>
      <c r="O71" s="151">
        <f t="shared" si="8"/>
        <v>20.798126140000008</v>
      </c>
    </row>
    <row r="72" spans="1:15" ht="24" customHeight="1">
      <c r="A72" s="131">
        <v>5</v>
      </c>
      <c r="B72" s="132" t="s">
        <v>519</v>
      </c>
      <c r="C72" s="149">
        <f>0.53+0.52+1.12+0.57+0.57</f>
        <v>3.3099999999999996</v>
      </c>
      <c r="D72" s="149">
        <f>0.01+1.6+0.27+0.47</f>
        <v>2.35</v>
      </c>
      <c r="E72" s="149">
        <f>0.02+0.56+0.31+0.65</f>
        <v>1.54</v>
      </c>
      <c r="F72" s="149">
        <f>0.42+0.6+0.59</f>
        <v>1.6099999999999999</v>
      </c>
      <c r="G72" s="151">
        <f>0.35+0.56+0.84</f>
        <v>1.75</v>
      </c>
      <c r="H72" s="151">
        <f>0.92+1.5+4.75</f>
        <v>7.17</v>
      </c>
      <c r="I72" s="151">
        <f>1.02+1.65+5.23</f>
        <v>7.9</v>
      </c>
      <c r="J72" s="151">
        <f t="shared" si="8"/>
        <v>8.690000000000001</v>
      </c>
      <c r="K72" s="151">
        <f t="shared" si="8"/>
        <v>9.559000000000003</v>
      </c>
      <c r="L72" s="151">
        <f t="shared" si="8"/>
        <v>10.514900000000004</v>
      </c>
      <c r="M72" s="151">
        <f t="shared" si="8"/>
        <v>11.566390000000006</v>
      </c>
      <c r="N72" s="151">
        <f t="shared" si="8"/>
        <v>12.723029000000007</v>
      </c>
      <c r="O72" s="151">
        <f t="shared" si="8"/>
        <v>13.995331900000009</v>
      </c>
    </row>
    <row r="73" spans="1:15" ht="24" customHeight="1">
      <c r="A73" s="131">
        <v>6</v>
      </c>
      <c r="B73" s="132" t="s">
        <v>518</v>
      </c>
      <c r="C73" s="149">
        <f>0+0.08+0.01</f>
        <v>0.09</v>
      </c>
      <c r="D73" s="149">
        <f>0.16+0.18+0.29</f>
        <v>0.6299999999999999</v>
      </c>
      <c r="E73" s="149">
        <f>0.08+0.06</f>
        <v>0.14</v>
      </c>
      <c r="F73" s="149">
        <f>0</f>
        <v>0</v>
      </c>
      <c r="G73" s="151">
        <f>0.06+20+0.02</f>
        <v>20.08</v>
      </c>
      <c r="H73" s="151"/>
      <c r="I73" s="151"/>
      <c r="J73" s="151">
        <f t="shared" si="8"/>
        <v>0</v>
      </c>
      <c r="K73" s="151">
        <f t="shared" si="8"/>
        <v>0</v>
      </c>
      <c r="L73" s="151">
        <f t="shared" si="8"/>
        <v>0</v>
      </c>
      <c r="M73" s="151">
        <f t="shared" si="8"/>
        <v>0</v>
      </c>
      <c r="N73" s="151">
        <f t="shared" si="8"/>
        <v>0</v>
      </c>
      <c r="O73" s="151">
        <f t="shared" si="8"/>
        <v>0</v>
      </c>
    </row>
    <row r="74" spans="1:15" ht="30">
      <c r="A74" s="131">
        <v>7</v>
      </c>
      <c r="B74" s="132" t="s">
        <v>517</v>
      </c>
      <c r="C74" s="149">
        <f>0.34+0.24+3.64+1.18</f>
        <v>5.4</v>
      </c>
      <c r="D74" s="149">
        <f>0.38+0.7+0.22+5.34+2.5</f>
        <v>9.14</v>
      </c>
      <c r="E74" s="149">
        <f>4.42+0.12+1.88+4.44+2.64</f>
        <v>13.5</v>
      </c>
      <c r="F74" s="149">
        <f>0.26+2.8+0.77</f>
        <v>3.8299999999999996</v>
      </c>
      <c r="G74" s="151">
        <f>2.16+2.12+3.72</f>
        <v>8</v>
      </c>
      <c r="H74" s="151">
        <f>1+2.8+4.63</f>
        <v>8.43</v>
      </c>
      <c r="I74" s="151">
        <f>1.1+3.08+5.26</f>
        <v>9.44</v>
      </c>
      <c r="J74" s="151">
        <f t="shared" si="8"/>
        <v>10.384</v>
      </c>
      <c r="K74" s="151">
        <f t="shared" si="8"/>
        <v>11.422400000000001</v>
      </c>
      <c r="L74" s="151">
        <f t="shared" si="8"/>
        <v>12.564640000000002</v>
      </c>
      <c r="M74" s="151">
        <f t="shared" si="8"/>
        <v>13.821104000000004</v>
      </c>
      <c r="N74" s="151">
        <f t="shared" si="8"/>
        <v>15.203214400000006</v>
      </c>
      <c r="O74" s="151">
        <f t="shared" si="8"/>
        <v>16.723535840000007</v>
      </c>
    </row>
    <row r="75" spans="1:15" ht="24" customHeight="1">
      <c r="A75" s="131"/>
      <c r="B75" s="129"/>
      <c r="C75" s="149"/>
      <c r="D75" s="149"/>
      <c r="E75" s="149"/>
      <c r="F75" s="149"/>
      <c r="G75" s="150"/>
      <c r="H75" s="150"/>
      <c r="I75" s="150"/>
      <c r="J75" s="149"/>
      <c r="K75" s="149"/>
      <c r="L75" s="149"/>
      <c r="M75" s="149"/>
      <c r="N75" s="149"/>
      <c r="O75" s="149"/>
    </row>
    <row r="76" spans="1:15" ht="24" customHeight="1">
      <c r="A76" s="129"/>
      <c r="B76" s="128" t="s">
        <v>492</v>
      </c>
      <c r="C76" s="147">
        <f aca="true" t="shared" si="9" ref="C76:O76">SUM(C68:C75)</f>
        <v>89.36000000000001</v>
      </c>
      <c r="D76" s="147">
        <f t="shared" si="9"/>
        <v>113.53999999999999</v>
      </c>
      <c r="E76" s="147">
        <f t="shared" si="9"/>
        <v>150.35999999999999</v>
      </c>
      <c r="F76" s="147">
        <f t="shared" si="9"/>
        <v>98.45</v>
      </c>
      <c r="G76" s="148">
        <f t="shared" si="9"/>
        <v>149.89</v>
      </c>
      <c r="H76" s="148">
        <f t="shared" si="9"/>
        <v>142.73</v>
      </c>
      <c r="I76" s="148">
        <f t="shared" si="9"/>
        <v>157.24</v>
      </c>
      <c r="J76" s="147">
        <f t="shared" si="9"/>
        <v>172.964</v>
      </c>
      <c r="K76" s="147">
        <f t="shared" si="9"/>
        <v>190.2604</v>
      </c>
      <c r="L76" s="147">
        <f t="shared" si="9"/>
        <v>209.28644000000003</v>
      </c>
      <c r="M76" s="147">
        <f t="shared" si="9"/>
        <v>230.21508400000002</v>
      </c>
      <c r="N76" s="147">
        <f t="shared" si="9"/>
        <v>253.23659240000003</v>
      </c>
      <c r="O76" s="147">
        <f t="shared" si="9"/>
        <v>278.56025164000005</v>
      </c>
    </row>
    <row r="77" ht="15">
      <c r="A77" s="127"/>
    </row>
    <row r="78" spans="2:9" ht="15">
      <c r="B78" s="126"/>
      <c r="G78"/>
      <c r="H78"/>
      <c r="I78"/>
    </row>
  </sheetData>
  <sheetProtection/>
  <mergeCells count="15">
    <mergeCell ref="A57:O57"/>
    <mergeCell ref="C58:J58"/>
    <mergeCell ref="K58:O58"/>
    <mergeCell ref="A31:O31"/>
    <mergeCell ref="A32:O32"/>
    <mergeCell ref="C33:J33"/>
    <mergeCell ref="K33:O33"/>
    <mergeCell ref="A55:J55"/>
    <mergeCell ref="A56:O56"/>
    <mergeCell ref="A30:J30"/>
    <mergeCell ref="A3:J3"/>
    <mergeCell ref="A4:O4"/>
    <mergeCell ref="A5:O5"/>
    <mergeCell ref="C6:J6"/>
    <mergeCell ref="K6:O6"/>
  </mergeCells>
  <printOptions horizontalCentered="1"/>
  <pageMargins left="0.433070866141732" right="0.236220472440945" top="0.669291338582677" bottom="0.433070866141732" header="0.511811023622047" footer="0.236220472440945"/>
  <pageSetup firstPageNumber="125" useFirstPageNumber="1" horizontalDpi="600" verticalDpi="600" orientation="landscape" paperSize="9" scale="83" r:id="rId1"/>
  <headerFooter alignWithMargins="0">
    <oddFooter>&amp;C&amp;P</oddFooter>
  </headerFooter>
  <rowBreaks count="2" manualBreakCount="2">
    <brk id="27" max="255" man="1"/>
    <brk id="51" max="16" man="1"/>
  </rowBreaks>
</worksheet>
</file>

<file path=xl/worksheets/sheet23.xml><?xml version="1.0" encoding="utf-8"?>
<worksheet xmlns="http://schemas.openxmlformats.org/spreadsheetml/2006/main" xmlns:r="http://schemas.openxmlformats.org/officeDocument/2006/relationships">
  <dimension ref="A1:Q95"/>
  <sheetViews>
    <sheetView zoomScalePageLayoutView="0" workbookViewId="0" topLeftCell="A43">
      <selection activeCell="C35" sqref="C35:Q59"/>
    </sheetView>
  </sheetViews>
  <sheetFormatPr defaultColWidth="9.140625" defaultRowHeight="15"/>
  <cols>
    <col min="1" max="1" width="5.140625" style="0" customWidth="1"/>
    <col min="2" max="2" width="25.421875" style="0" customWidth="1"/>
    <col min="3" max="3" width="8.00390625" style="0" customWidth="1"/>
    <col min="4" max="4" width="8.421875" style="0" customWidth="1"/>
    <col min="5" max="5" width="8.28125" style="0" customWidth="1"/>
    <col min="6" max="6" width="8.57421875" style="0" customWidth="1"/>
    <col min="7" max="7" width="8.7109375" style="0" bestFit="1" customWidth="1"/>
    <col min="8" max="8" width="8.421875" style="0" customWidth="1"/>
    <col min="9" max="9" width="8.8515625" style="0" bestFit="1" customWidth="1"/>
    <col min="10" max="10" width="8.7109375" style="0" bestFit="1" customWidth="1"/>
    <col min="11" max="11" width="9.57421875" style="0" customWidth="1"/>
    <col min="12" max="13" width="9.140625" style="0" bestFit="1" customWidth="1"/>
    <col min="14" max="14" width="9.28125" style="0" customWidth="1"/>
    <col min="15" max="15" width="9.00390625" style="0" customWidth="1"/>
    <col min="16" max="16" width="8.7109375" style="0" customWidth="1"/>
    <col min="17" max="17" width="8.57421875" style="0" customWidth="1"/>
    <col min="18" max="18" width="9.57421875" style="0" bestFit="1" customWidth="1"/>
  </cols>
  <sheetData>
    <row r="1" ht="18.75">
      <c r="N1" s="143" t="s">
        <v>566</v>
      </c>
    </row>
    <row r="2" spans="1:17" ht="15">
      <c r="A2" s="174" t="s">
        <v>558</v>
      </c>
      <c r="B2" s="174"/>
      <c r="C2" s="174"/>
      <c r="D2" s="174"/>
      <c r="E2" s="174"/>
      <c r="F2" s="174"/>
      <c r="G2" s="174"/>
      <c r="H2" s="174"/>
      <c r="I2" s="174"/>
      <c r="J2" s="174"/>
      <c r="K2" s="174"/>
      <c r="L2" s="174"/>
      <c r="M2" s="174"/>
      <c r="N2" s="174"/>
      <c r="O2" s="174"/>
      <c r="P2" s="174"/>
      <c r="Q2" s="174"/>
    </row>
    <row r="3" spans="1:17" ht="18.75">
      <c r="A3" s="382" t="s">
        <v>565</v>
      </c>
      <c r="B3" s="383"/>
      <c r="C3" s="383"/>
      <c r="D3" s="383"/>
      <c r="E3" s="383"/>
      <c r="F3" s="383"/>
      <c r="G3" s="383"/>
      <c r="H3" s="383"/>
      <c r="I3" s="383"/>
      <c r="J3" s="383"/>
      <c r="K3" s="383"/>
      <c r="L3" s="383"/>
      <c r="M3" s="383"/>
      <c r="N3" s="383"/>
      <c r="O3" s="383"/>
      <c r="P3" s="383"/>
      <c r="Q3" s="384"/>
    </row>
    <row r="4" spans="1:17" ht="15">
      <c r="A4" s="129"/>
      <c r="B4" s="129"/>
      <c r="C4" s="385" t="s">
        <v>481</v>
      </c>
      <c r="D4" s="386"/>
      <c r="E4" s="386"/>
      <c r="F4" s="386"/>
      <c r="G4" s="386"/>
      <c r="H4" s="386"/>
      <c r="I4" s="386"/>
      <c r="J4" s="387"/>
      <c r="K4" s="371" t="s">
        <v>507</v>
      </c>
      <c r="L4" s="371"/>
      <c r="M4" s="371"/>
      <c r="N4" s="371"/>
      <c r="O4" s="371"/>
      <c r="P4" s="371"/>
      <c r="Q4" s="371"/>
    </row>
    <row r="5" spans="1:17" ht="15">
      <c r="A5" s="136" t="s">
        <v>556</v>
      </c>
      <c r="B5" s="136" t="s">
        <v>506</v>
      </c>
      <c r="C5" s="133" t="s">
        <v>77</v>
      </c>
      <c r="D5" s="133" t="s">
        <v>76</v>
      </c>
      <c r="E5" s="133" t="s">
        <v>36</v>
      </c>
      <c r="F5" s="133" t="s">
        <v>35</v>
      </c>
      <c r="G5" s="133" t="s">
        <v>34</v>
      </c>
      <c r="H5" s="133" t="s">
        <v>33</v>
      </c>
      <c r="I5" s="133" t="s">
        <v>32</v>
      </c>
      <c r="J5" s="133" t="s">
        <v>31</v>
      </c>
      <c r="K5" s="133" t="s">
        <v>30</v>
      </c>
      <c r="L5" s="133" t="s">
        <v>29</v>
      </c>
      <c r="M5" s="138" t="s">
        <v>28</v>
      </c>
      <c r="N5" s="138" t="s">
        <v>27</v>
      </c>
      <c r="O5" s="138" t="s">
        <v>26</v>
      </c>
      <c r="P5" s="138" t="s">
        <v>25</v>
      </c>
      <c r="Q5" s="138" t="s">
        <v>24</v>
      </c>
    </row>
    <row r="6" spans="1:17" ht="15">
      <c r="A6" s="179">
        <v>1</v>
      </c>
      <c r="B6" s="177" t="s">
        <v>554</v>
      </c>
      <c r="C6" s="136"/>
      <c r="D6" s="136"/>
      <c r="E6" s="136"/>
      <c r="F6" s="136"/>
      <c r="G6" s="136"/>
      <c r="H6" s="136"/>
      <c r="I6" s="136"/>
      <c r="J6" s="134"/>
      <c r="K6" s="133"/>
      <c r="L6" s="133"/>
      <c r="M6" s="133"/>
      <c r="N6" s="133"/>
      <c r="O6" s="133"/>
      <c r="P6" s="133"/>
      <c r="Q6" s="133"/>
    </row>
    <row r="7" spans="1:17" ht="30">
      <c r="A7" s="179"/>
      <c r="B7" s="177" t="s">
        <v>553</v>
      </c>
      <c r="C7" s="187">
        <v>392</v>
      </c>
      <c r="D7" s="187">
        <v>437</v>
      </c>
      <c r="E7" s="187">
        <v>516</v>
      </c>
      <c r="F7" s="187">
        <v>332.84</v>
      </c>
      <c r="G7" s="187">
        <v>351.36</v>
      </c>
      <c r="H7" s="187">
        <v>407.4</v>
      </c>
      <c r="I7" s="187">
        <v>369.52</v>
      </c>
      <c r="J7" s="186">
        <v>376</v>
      </c>
      <c r="K7" s="185">
        <v>413.6</v>
      </c>
      <c r="L7" s="185">
        <v>454.96</v>
      </c>
      <c r="M7" s="185">
        <v>500.46</v>
      </c>
      <c r="N7" s="185">
        <v>550.5</v>
      </c>
      <c r="O7" s="185">
        <v>605.5</v>
      </c>
      <c r="P7" s="185">
        <v>666.1</v>
      </c>
      <c r="Q7" s="185">
        <v>732.71</v>
      </c>
    </row>
    <row r="8" spans="1:17" ht="30">
      <c r="A8" s="179"/>
      <c r="B8" s="177" t="s">
        <v>552</v>
      </c>
      <c r="C8" s="184"/>
      <c r="D8" s="184"/>
      <c r="E8" s="184"/>
      <c r="F8" s="184"/>
      <c r="G8" s="184"/>
      <c r="H8" s="184"/>
      <c r="I8" s="184"/>
      <c r="J8" s="183"/>
      <c r="K8" s="182"/>
      <c r="L8" s="182"/>
      <c r="M8" s="182"/>
      <c r="N8" s="182"/>
      <c r="O8" s="182"/>
      <c r="P8" s="182"/>
      <c r="Q8" s="182"/>
    </row>
    <row r="9" spans="1:17" ht="15">
      <c r="A9" s="131"/>
      <c r="B9" s="177" t="s">
        <v>561</v>
      </c>
      <c r="C9" s="181">
        <v>37.14</v>
      </c>
      <c r="D9" s="181">
        <v>37.14</v>
      </c>
      <c r="E9" s="181">
        <v>45.6</v>
      </c>
      <c r="F9" s="181">
        <v>128</v>
      </c>
      <c r="G9" s="181">
        <v>135.28</v>
      </c>
      <c r="H9" s="181">
        <v>278.72</v>
      </c>
      <c r="I9" s="181">
        <v>280.12</v>
      </c>
      <c r="J9" s="181">
        <v>185.84</v>
      </c>
      <c r="K9" s="181">
        <v>188</v>
      </c>
      <c r="L9" s="181">
        <v>206.8</v>
      </c>
      <c r="M9" s="181">
        <v>227.48</v>
      </c>
      <c r="N9" s="181">
        <v>250.23</v>
      </c>
      <c r="O9" s="181">
        <v>275.25</v>
      </c>
      <c r="P9" s="181">
        <v>302.77</v>
      </c>
      <c r="Q9" s="181">
        <v>333.04</v>
      </c>
    </row>
    <row r="10" spans="1:17" ht="15">
      <c r="A10" s="131">
        <v>2</v>
      </c>
      <c r="B10" s="129" t="s">
        <v>549</v>
      </c>
      <c r="C10" s="181"/>
      <c r="D10" s="181"/>
      <c r="E10" s="181"/>
      <c r="F10" s="181"/>
      <c r="G10" s="181"/>
      <c r="H10" s="181"/>
      <c r="I10" s="181"/>
      <c r="J10" s="181"/>
      <c r="K10" s="181"/>
      <c r="L10" s="181"/>
      <c r="M10" s="181"/>
      <c r="N10" s="181"/>
      <c r="O10" s="181"/>
      <c r="P10" s="181"/>
      <c r="Q10" s="181"/>
    </row>
    <row r="11" spans="1:17" ht="15">
      <c r="A11" s="131"/>
      <c r="B11" s="129" t="s">
        <v>544</v>
      </c>
      <c r="C11" s="181">
        <v>253.76</v>
      </c>
      <c r="D11" s="181">
        <v>840.77</v>
      </c>
      <c r="E11" s="181">
        <v>305.12</v>
      </c>
      <c r="F11" s="181">
        <v>242.81</v>
      </c>
      <c r="G11" s="181">
        <v>56.21</v>
      </c>
      <c r="H11" s="181">
        <v>321.02</v>
      </c>
      <c r="I11" s="181">
        <v>398.88</v>
      </c>
      <c r="J11" s="181">
        <v>310.46</v>
      </c>
      <c r="K11" s="181">
        <v>341.51</v>
      </c>
      <c r="L11" s="181">
        <v>375.66</v>
      </c>
      <c r="M11" s="181">
        <v>413.23</v>
      </c>
      <c r="N11" s="181">
        <v>454.55</v>
      </c>
      <c r="O11" s="181">
        <v>500</v>
      </c>
      <c r="P11" s="181">
        <v>550</v>
      </c>
      <c r="Q11" s="181">
        <v>605</v>
      </c>
    </row>
    <row r="12" spans="1:17" ht="30">
      <c r="A12" s="131"/>
      <c r="B12" s="132" t="s">
        <v>543</v>
      </c>
      <c r="C12" s="181">
        <v>592.1</v>
      </c>
      <c r="D12" s="181">
        <v>891.09</v>
      </c>
      <c r="E12" s="181">
        <v>76.28</v>
      </c>
      <c r="F12" s="181">
        <v>258.79</v>
      </c>
      <c r="G12" s="181">
        <v>26.15</v>
      </c>
      <c r="H12" s="181">
        <v>172.86</v>
      </c>
      <c r="I12" s="181">
        <v>244.48</v>
      </c>
      <c r="J12" s="181">
        <v>465.7</v>
      </c>
      <c r="K12" s="181">
        <v>512.27</v>
      </c>
      <c r="L12" s="181">
        <v>563.5</v>
      </c>
      <c r="M12" s="181">
        <v>619.85</v>
      </c>
      <c r="N12" s="181">
        <v>681.83</v>
      </c>
      <c r="O12" s="181">
        <v>750.01</v>
      </c>
      <c r="P12" s="181">
        <v>825.01</v>
      </c>
      <c r="Q12" s="181">
        <v>907.51</v>
      </c>
    </row>
    <row r="13" spans="1:17" ht="15">
      <c r="A13" s="131"/>
      <c r="B13" s="129" t="s">
        <v>542</v>
      </c>
      <c r="C13" s="181"/>
      <c r="D13" s="181"/>
      <c r="E13" s="181"/>
      <c r="F13" s="181"/>
      <c r="G13" s="181"/>
      <c r="H13" s="181"/>
      <c r="I13" s="181"/>
      <c r="J13" s="181"/>
      <c r="K13" s="181"/>
      <c r="L13" s="181"/>
      <c r="M13" s="181"/>
      <c r="N13" s="181"/>
      <c r="O13" s="181"/>
      <c r="P13" s="181"/>
      <c r="Q13" s="181"/>
    </row>
    <row r="14" spans="1:17" ht="30">
      <c r="A14" s="131"/>
      <c r="B14" s="177" t="s">
        <v>541</v>
      </c>
      <c r="C14" s="181"/>
      <c r="D14" s="181"/>
      <c r="E14" s="181"/>
      <c r="F14" s="181"/>
      <c r="G14" s="181"/>
      <c r="H14" s="181"/>
      <c r="I14" s="181"/>
      <c r="J14" s="181"/>
      <c r="K14" s="181"/>
      <c r="L14" s="181"/>
      <c r="M14" s="181"/>
      <c r="N14" s="181"/>
      <c r="O14" s="181"/>
      <c r="P14" s="181"/>
      <c r="Q14" s="181"/>
    </row>
    <row r="15" spans="1:17" ht="15">
      <c r="A15" s="131"/>
      <c r="B15" s="129" t="s">
        <v>548</v>
      </c>
      <c r="C15" s="181"/>
      <c r="D15" s="181"/>
      <c r="E15" s="181"/>
      <c r="F15" s="181"/>
      <c r="G15" s="181"/>
      <c r="H15" s="181"/>
      <c r="I15" s="181"/>
      <c r="J15" s="181"/>
      <c r="K15" s="181"/>
      <c r="L15" s="181"/>
      <c r="M15" s="181"/>
      <c r="N15" s="181"/>
      <c r="O15" s="181"/>
      <c r="P15" s="181"/>
      <c r="Q15" s="181"/>
    </row>
    <row r="16" spans="1:17" ht="47.25" customHeight="1">
      <c r="A16" s="131"/>
      <c r="B16" s="132" t="s">
        <v>560</v>
      </c>
      <c r="C16" s="181"/>
      <c r="D16" s="181"/>
      <c r="E16" s="181"/>
      <c r="F16" s="181"/>
      <c r="G16" s="181"/>
      <c r="H16" s="181"/>
      <c r="I16" s="181"/>
      <c r="J16" s="181"/>
      <c r="K16" s="181"/>
      <c r="L16" s="181"/>
      <c r="M16" s="181"/>
      <c r="N16" s="181"/>
      <c r="O16" s="181"/>
      <c r="P16" s="181"/>
      <c r="Q16" s="181"/>
    </row>
    <row r="17" spans="1:17" ht="45">
      <c r="A17" s="129"/>
      <c r="B17" s="132" t="s">
        <v>546</v>
      </c>
      <c r="C17" s="181"/>
      <c r="D17" s="181"/>
      <c r="E17" s="181"/>
      <c r="F17" s="181"/>
      <c r="G17" s="181"/>
      <c r="H17" s="181"/>
      <c r="I17" s="181"/>
      <c r="J17" s="181"/>
      <c r="K17" s="181"/>
      <c r="L17" s="181"/>
      <c r="M17" s="181"/>
      <c r="N17" s="181"/>
      <c r="O17" s="181"/>
      <c r="P17" s="181"/>
      <c r="Q17" s="181"/>
    </row>
    <row r="18" spans="1:17" ht="15">
      <c r="A18" s="176">
        <v>3</v>
      </c>
      <c r="B18" s="175" t="s">
        <v>545</v>
      </c>
      <c r="C18" s="181"/>
      <c r="D18" s="181"/>
      <c r="E18" s="181"/>
      <c r="F18" s="181"/>
      <c r="G18" s="181"/>
      <c r="H18" s="181"/>
      <c r="I18" s="181"/>
      <c r="J18" s="181"/>
      <c r="K18" s="181"/>
      <c r="L18" s="181"/>
      <c r="M18" s="181"/>
      <c r="N18" s="181"/>
      <c r="O18" s="181"/>
      <c r="P18" s="181"/>
      <c r="Q18" s="181"/>
    </row>
    <row r="19" spans="1:17" ht="15">
      <c r="A19" s="176"/>
      <c r="B19" s="129" t="s">
        <v>544</v>
      </c>
      <c r="C19" s="181"/>
      <c r="D19" s="181"/>
      <c r="E19" s="181"/>
      <c r="F19" s="181"/>
      <c r="G19" s="181"/>
      <c r="H19" s="181"/>
      <c r="I19" s="181"/>
      <c r="J19" s="181"/>
      <c r="K19" s="181"/>
      <c r="L19" s="181"/>
      <c r="M19" s="181"/>
      <c r="N19" s="181"/>
      <c r="O19" s="181"/>
      <c r="P19" s="181"/>
      <c r="Q19" s="181"/>
    </row>
    <row r="20" spans="1:17" ht="30">
      <c r="A20" s="176"/>
      <c r="B20" s="132" t="s">
        <v>543</v>
      </c>
      <c r="C20" s="181">
        <v>654</v>
      </c>
      <c r="D20" s="181">
        <v>741</v>
      </c>
      <c r="E20" s="181"/>
      <c r="F20" s="181">
        <v>307.56</v>
      </c>
      <c r="G20" s="181">
        <v>105</v>
      </c>
      <c r="H20" s="181">
        <v>202</v>
      </c>
      <c r="I20" s="181"/>
      <c r="J20" s="181"/>
      <c r="K20" s="181">
        <v>815.1</v>
      </c>
      <c r="L20" s="181">
        <v>896.61</v>
      </c>
      <c r="M20" s="181">
        <v>986.27</v>
      </c>
      <c r="N20" s="181">
        <v>1084.89</v>
      </c>
      <c r="O20" s="181">
        <v>1193.37</v>
      </c>
      <c r="P20" s="181">
        <v>1312.7</v>
      </c>
      <c r="Q20" s="181">
        <v>1443.97</v>
      </c>
    </row>
    <row r="21" spans="1:17" ht="15">
      <c r="A21" s="176"/>
      <c r="B21" s="129" t="s">
        <v>542</v>
      </c>
      <c r="C21" s="181"/>
      <c r="D21" s="181"/>
      <c r="E21" s="181"/>
      <c r="F21" s="181"/>
      <c r="G21" s="181"/>
      <c r="H21" s="181"/>
      <c r="I21" s="181"/>
      <c r="J21" s="181"/>
      <c r="K21" s="181"/>
      <c r="L21" s="181"/>
      <c r="M21" s="181"/>
      <c r="N21" s="181"/>
      <c r="O21" s="181"/>
      <c r="P21" s="181"/>
      <c r="Q21" s="181"/>
    </row>
    <row r="22" spans="1:17" ht="30">
      <c r="A22" s="176"/>
      <c r="B22" s="132" t="s">
        <v>541</v>
      </c>
      <c r="C22" s="181"/>
      <c r="D22" s="181"/>
      <c r="E22" s="181"/>
      <c r="F22" s="181"/>
      <c r="G22" s="181"/>
      <c r="H22" s="181"/>
      <c r="I22" s="181"/>
      <c r="J22" s="181"/>
      <c r="K22" s="181"/>
      <c r="L22" s="181"/>
      <c r="M22" s="181"/>
      <c r="N22" s="181"/>
      <c r="O22" s="181"/>
      <c r="P22" s="181"/>
      <c r="Q22" s="181"/>
    </row>
    <row r="23" spans="1:17" ht="30">
      <c r="A23" s="131">
        <v>4</v>
      </c>
      <c r="B23" s="177" t="s">
        <v>539</v>
      </c>
      <c r="C23" s="181"/>
      <c r="D23" s="181"/>
      <c r="E23" s="181"/>
      <c r="F23" s="181"/>
      <c r="G23" s="181"/>
      <c r="H23" s="181"/>
      <c r="I23" s="181"/>
      <c r="J23" s="181"/>
      <c r="K23" s="181"/>
      <c r="L23" s="181"/>
      <c r="M23" s="181"/>
      <c r="N23" s="181"/>
      <c r="O23" s="181"/>
      <c r="P23" s="181"/>
      <c r="Q23" s="181"/>
    </row>
    <row r="24" spans="1:17" ht="21" customHeight="1">
      <c r="A24" s="131"/>
      <c r="B24" s="177" t="s">
        <v>538</v>
      </c>
      <c r="C24" s="181"/>
      <c r="D24" s="181"/>
      <c r="E24" s="181"/>
      <c r="F24" s="181"/>
      <c r="G24" s="181"/>
      <c r="H24" s="181"/>
      <c r="I24" s="181"/>
      <c r="J24" s="181"/>
      <c r="K24" s="181"/>
      <c r="L24" s="181"/>
      <c r="M24" s="181"/>
      <c r="N24" s="181"/>
      <c r="O24" s="181"/>
      <c r="P24" s="181"/>
      <c r="Q24" s="181"/>
    </row>
    <row r="25" spans="1:17" ht="15">
      <c r="A25" s="176"/>
      <c r="B25" s="175" t="s">
        <v>537</v>
      </c>
      <c r="C25" s="181"/>
      <c r="D25" s="181"/>
      <c r="E25" s="181"/>
      <c r="F25" s="181"/>
      <c r="G25" s="181"/>
      <c r="H25" s="181"/>
      <c r="I25" s="181"/>
      <c r="J25" s="181"/>
      <c r="K25" s="181"/>
      <c r="L25" s="181"/>
      <c r="M25" s="181"/>
      <c r="N25" s="181"/>
      <c r="O25" s="181"/>
      <c r="P25" s="181"/>
      <c r="Q25" s="181"/>
    </row>
    <row r="26" spans="1:17" ht="15">
      <c r="A26" s="176">
        <v>5</v>
      </c>
      <c r="B26" s="175" t="s">
        <v>534</v>
      </c>
      <c r="C26" s="181"/>
      <c r="D26" s="181"/>
      <c r="E26" s="181"/>
      <c r="F26" s="181"/>
      <c r="G26" s="181"/>
      <c r="H26" s="181"/>
      <c r="I26" s="181"/>
      <c r="J26" s="181"/>
      <c r="K26" s="181"/>
      <c r="L26" s="181"/>
      <c r="M26" s="181"/>
      <c r="N26" s="181"/>
      <c r="O26" s="181"/>
      <c r="P26" s="181"/>
      <c r="Q26" s="181"/>
    </row>
    <row r="27" spans="1:17" ht="15">
      <c r="A27" s="33"/>
      <c r="B27" s="175" t="s">
        <v>2</v>
      </c>
      <c r="C27" s="181">
        <f aca="true" t="shared" si="0" ref="C27:Q27">SUM(C7:C26)</f>
        <v>1929</v>
      </c>
      <c r="D27" s="181">
        <f t="shared" si="0"/>
        <v>2947</v>
      </c>
      <c r="E27" s="181">
        <f t="shared" si="0"/>
        <v>943</v>
      </c>
      <c r="F27" s="181">
        <f t="shared" si="0"/>
        <v>1270</v>
      </c>
      <c r="G27" s="181">
        <f t="shared" si="0"/>
        <v>674</v>
      </c>
      <c r="H27" s="181">
        <f t="shared" si="0"/>
        <v>1382</v>
      </c>
      <c r="I27" s="181">
        <f t="shared" si="0"/>
        <v>1293</v>
      </c>
      <c r="J27" s="181">
        <f t="shared" si="0"/>
        <v>1338</v>
      </c>
      <c r="K27" s="181">
        <f t="shared" si="0"/>
        <v>2270.48</v>
      </c>
      <c r="L27" s="181">
        <f t="shared" si="0"/>
        <v>2497.53</v>
      </c>
      <c r="M27" s="181">
        <f t="shared" si="0"/>
        <v>2747.29</v>
      </c>
      <c r="N27" s="181">
        <f t="shared" si="0"/>
        <v>3022</v>
      </c>
      <c r="O27" s="181">
        <f t="shared" si="0"/>
        <v>3324.13</v>
      </c>
      <c r="P27" s="181">
        <f t="shared" si="0"/>
        <v>3656.58</v>
      </c>
      <c r="Q27" s="181">
        <f t="shared" si="0"/>
        <v>4022.2300000000005</v>
      </c>
    </row>
    <row r="28" spans="3:10" ht="15">
      <c r="C28" s="45"/>
      <c r="D28" s="45"/>
      <c r="E28" s="45"/>
      <c r="F28" s="45"/>
      <c r="G28" s="45"/>
      <c r="H28" s="45"/>
      <c r="I28" s="45"/>
      <c r="J28" s="45"/>
    </row>
    <row r="29" ht="18.75">
      <c r="N29" s="143" t="s">
        <v>564</v>
      </c>
    </row>
    <row r="30" spans="1:17" ht="15">
      <c r="A30" s="180" t="s">
        <v>522</v>
      </c>
      <c r="B30" s="174"/>
      <c r="C30" s="174"/>
      <c r="D30" s="174"/>
      <c r="E30" s="174"/>
      <c r="F30" s="174"/>
      <c r="G30" s="174"/>
      <c r="H30" s="174"/>
      <c r="I30" s="174"/>
      <c r="J30" s="174"/>
      <c r="K30" s="174"/>
      <c r="L30" s="174"/>
      <c r="M30" s="174"/>
      <c r="N30" s="174"/>
      <c r="O30" s="174"/>
      <c r="P30" s="174"/>
      <c r="Q30" s="174"/>
    </row>
    <row r="31" spans="1:10" ht="15">
      <c r="A31" s="372"/>
      <c r="B31" s="372"/>
      <c r="C31" s="372"/>
      <c r="D31" s="372"/>
      <c r="E31" s="372"/>
      <c r="F31" s="372"/>
      <c r="G31" s="372"/>
      <c r="H31" s="372"/>
      <c r="I31" s="372"/>
      <c r="J31" s="372"/>
    </row>
    <row r="32" spans="1:17" ht="18.75">
      <c r="A32" s="382" t="s">
        <v>563</v>
      </c>
      <c r="B32" s="383"/>
      <c r="C32" s="383"/>
      <c r="D32" s="383"/>
      <c r="E32" s="383"/>
      <c r="F32" s="383"/>
      <c r="G32" s="383"/>
      <c r="H32" s="383"/>
      <c r="I32" s="383"/>
      <c r="J32" s="383"/>
      <c r="K32" s="383"/>
      <c r="L32" s="383"/>
      <c r="M32" s="383"/>
      <c r="N32" s="383"/>
      <c r="O32" s="383"/>
      <c r="P32" s="383"/>
      <c r="Q32" s="384"/>
    </row>
    <row r="33" spans="1:17" ht="15">
      <c r="A33" s="129"/>
      <c r="B33" s="129"/>
      <c r="C33" s="129"/>
      <c r="D33" s="129"/>
      <c r="E33" s="129"/>
      <c r="F33" s="129"/>
      <c r="G33" s="129"/>
      <c r="H33" s="129"/>
      <c r="I33" s="371" t="s">
        <v>481</v>
      </c>
      <c r="J33" s="371"/>
      <c r="K33" s="371" t="s">
        <v>507</v>
      </c>
      <c r="L33" s="371"/>
      <c r="M33" s="371"/>
      <c r="N33" s="371"/>
      <c r="O33" s="371"/>
      <c r="P33" s="371"/>
      <c r="Q33" s="371"/>
    </row>
    <row r="34" spans="1:17" ht="15">
      <c r="A34" s="136" t="s">
        <v>556</v>
      </c>
      <c r="B34" s="136" t="s">
        <v>506</v>
      </c>
      <c r="C34" s="133" t="s">
        <v>77</v>
      </c>
      <c r="D34" s="133" t="s">
        <v>76</v>
      </c>
      <c r="E34" s="133" t="s">
        <v>36</v>
      </c>
      <c r="F34" s="133" t="s">
        <v>35</v>
      </c>
      <c r="G34" s="133" t="s">
        <v>34</v>
      </c>
      <c r="H34" s="133" t="s">
        <v>33</v>
      </c>
      <c r="I34" s="133" t="s">
        <v>32</v>
      </c>
      <c r="J34" s="133" t="s">
        <v>31</v>
      </c>
      <c r="K34" s="133" t="s">
        <v>30</v>
      </c>
      <c r="L34" s="133" t="s">
        <v>29</v>
      </c>
      <c r="M34" s="138" t="s">
        <v>28</v>
      </c>
      <c r="N34" s="138" t="s">
        <v>27</v>
      </c>
      <c r="O34" s="138" t="s">
        <v>26</v>
      </c>
      <c r="P34" s="138" t="s">
        <v>25</v>
      </c>
      <c r="Q34" s="138" t="s">
        <v>24</v>
      </c>
    </row>
    <row r="35" spans="1:17" ht="15">
      <c r="A35" s="179">
        <v>1</v>
      </c>
      <c r="B35" s="177" t="s">
        <v>554</v>
      </c>
      <c r="C35" s="373" t="s">
        <v>562</v>
      </c>
      <c r="D35" s="374"/>
      <c r="E35" s="374"/>
      <c r="F35" s="374"/>
      <c r="G35" s="374"/>
      <c r="H35" s="374"/>
      <c r="I35" s="374"/>
      <c r="J35" s="374"/>
      <c r="K35" s="374"/>
      <c r="L35" s="374"/>
      <c r="M35" s="374"/>
      <c r="N35" s="374"/>
      <c r="O35" s="374"/>
      <c r="P35" s="374"/>
      <c r="Q35" s="375"/>
    </row>
    <row r="36" spans="1:17" ht="30">
      <c r="A36" s="179"/>
      <c r="B36" s="177" t="s">
        <v>553</v>
      </c>
      <c r="C36" s="376"/>
      <c r="D36" s="377"/>
      <c r="E36" s="377"/>
      <c r="F36" s="377"/>
      <c r="G36" s="377"/>
      <c r="H36" s="377"/>
      <c r="I36" s="377"/>
      <c r="J36" s="377"/>
      <c r="K36" s="377"/>
      <c r="L36" s="377"/>
      <c r="M36" s="377"/>
      <c r="N36" s="377"/>
      <c r="O36" s="377"/>
      <c r="P36" s="377"/>
      <c r="Q36" s="378"/>
    </row>
    <row r="37" spans="1:17" ht="15">
      <c r="A37" s="179"/>
      <c r="B37" s="178" t="s">
        <v>552</v>
      </c>
      <c r="C37" s="376"/>
      <c r="D37" s="377"/>
      <c r="E37" s="377"/>
      <c r="F37" s="377"/>
      <c r="G37" s="377"/>
      <c r="H37" s="377"/>
      <c r="I37" s="377"/>
      <c r="J37" s="377"/>
      <c r="K37" s="377"/>
      <c r="L37" s="377"/>
      <c r="M37" s="377"/>
      <c r="N37" s="377"/>
      <c r="O37" s="377"/>
      <c r="P37" s="377"/>
      <c r="Q37" s="378"/>
    </row>
    <row r="38" spans="1:17" ht="15">
      <c r="A38" s="131"/>
      <c r="B38" s="177" t="s">
        <v>561</v>
      </c>
      <c r="C38" s="376"/>
      <c r="D38" s="377"/>
      <c r="E38" s="377"/>
      <c r="F38" s="377"/>
      <c r="G38" s="377"/>
      <c r="H38" s="377"/>
      <c r="I38" s="377"/>
      <c r="J38" s="377"/>
      <c r="K38" s="377"/>
      <c r="L38" s="377"/>
      <c r="M38" s="377"/>
      <c r="N38" s="377"/>
      <c r="O38" s="377"/>
      <c r="P38" s="377"/>
      <c r="Q38" s="378"/>
    </row>
    <row r="39" spans="1:17" ht="15">
      <c r="A39" s="131">
        <v>2</v>
      </c>
      <c r="B39" s="129" t="s">
        <v>549</v>
      </c>
      <c r="C39" s="376"/>
      <c r="D39" s="377"/>
      <c r="E39" s="377"/>
      <c r="F39" s="377"/>
      <c r="G39" s="377"/>
      <c r="H39" s="377"/>
      <c r="I39" s="377"/>
      <c r="J39" s="377"/>
      <c r="K39" s="377"/>
      <c r="L39" s="377"/>
      <c r="M39" s="377"/>
      <c r="N39" s="377"/>
      <c r="O39" s="377"/>
      <c r="P39" s="377"/>
      <c r="Q39" s="378"/>
    </row>
    <row r="40" spans="1:17" ht="15">
      <c r="A40" s="131"/>
      <c r="B40" s="129" t="s">
        <v>544</v>
      </c>
      <c r="C40" s="376"/>
      <c r="D40" s="377"/>
      <c r="E40" s="377"/>
      <c r="F40" s="377"/>
      <c r="G40" s="377"/>
      <c r="H40" s="377"/>
      <c r="I40" s="377"/>
      <c r="J40" s="377"/>
      <c r="K40" s="377"/>
      <c r="L40" s="377"/>
      <c r="M40" s="377"/>
      <c r="N40" s="377"/>
      <c r="O40" s="377"/>
      <c r="P40" s="377"/>
      <c r="Q40" s="378"/>
    </row>
    <row r="41" spans="1:17" ht="15">
      <c r="A41" s="131"/>
      <c r="B41" s="129" t="s">
        <v>543</v>
      </c>
      <c r="C41" s="376"/>
      <c r="D41" s="377"/>
      <c r="E41" s="377"/>
      <c r="F41" s="377"/>
      <c r="G41" s="377"/>
      <c r="H41" s="377"/>
      <c r="I41" s="377"/>
      <c r="J41" s="377"/>
      <c r="K41" s="377"/>
      <c r="L41" s="377"/>
      <c r="M41" s="377"/>
      <c r="N41" s="377"/>
      <c r="O41" s="377"/>
      <c r="P41" s="377"/>
      <c r="Q41" s="378"/>
    </row>
    <row r="42" spans="1:17" ht="15">
      <c r="A42" s="131"/>
      <c r="B42" s="129" t="s">
        <v>542</v>
      </c>
      <c r="C42" s="376"/>
      <c r="D42" s="377"/>
      <c r="E42" s="377"/>
      <c r="F42" s="377"/>
      <c r="G42" s="377"/>
      <c r="H42" s="377"/>
      <c r="I42" s="377"/>
      <c r="J42" s="377"/>
      <c r="K42" s="377"/>
      <c r="L42" s="377"/>
      <c r="M42" s="377"/>
      <c r="N42" s="377"/>
      <c r="O42" s="377"/>
      <c r="P42" s="377"/>
      <c r="Q42" s="378"/>
    </row>
    <row r="43" spans="1:17" ht="15">
      <c r="A43" s="131"/>
      <c r="B43" s="129" t="s">
        <v>541</v>
      </c>
      <c r="C43" s="376"/>
      <c r="D43" s="377"/>
      <c r="E43" s="377"/>
      <c r="F43" s="377"/>
      <c r="G43" s="377"/>
      <c r="H43" s="377"/>
      <c r="I43" s="377"/>
      <c r="J43" s="377"/>
      <c r="K43" s="377"/>
      <c r="L43" s="377"/>
      <c r="M43" s="377"/>
      <c r="N43" s="377"/>
      <c r="O43" s="377"/>
      <c r="P43" s="377"/>
      <c r="Q43" s="378"/>
    </row>
    <row r="44" spans="1:17" ht="15">
      <c r="A44" s="131"/>
      <c r="B44" s="129" t="s">
        <v>548</v>
      </c>
      <c r="C44" s="376"/>
      <c r="D44" s="377"/>
      <c r="E44" s="377"/>
      <c r="F44" s="377"/>
      <c r="G44" s="377"/>
      <c r="H44" s="377"/>
      <c r="I44" s="377"/>
      <c r="J44" s="377"/>
      <c r="K44" s="377"/>
      <c r="L44" s="377"/>
      <c r="M44" s="377"/>
      <c r="N44" s="377"/>
      <c r="O44" s="377"/>
      <c r="P44" s="377"/>
      <c r="Q44" s="378"/>
    </row>
    <row r="45" spans="1:17" ht="32.25" customHeight="1">
      <c r="A45" s="131"/>
      <c r="B45" s="132" t="s">
        <v>560</v>
      </c>
      <c r="C45" s="376"/>
      <c r="D45" s="377"/>
      <c r="E45" s="377"/>
      <c r="F45" s="377"/>
      <c r="G45" s="377"/>
      <c r="H45" s="377"/>
      <c r="I45" s="377"/>
      <c r="J45" s="377"/>
      <c r="K45" s="377"/>
      <c r="L45" s="377"/>
      <c r="M45" s="377"/>
      <c r="N45" s="377"/>
      <c r="O45" s="377"/>
      <c r="P45" s="377"/>
      <c r="Q45" s="378"/>
    </row>
    <row r="46" spans="1:17" ht="45">
      <c r="A46" s="129"/>
      <c r="B46" s="132" t="s">
        <v>546</v>
      </c>
      <c r="C46" s="376"/>
      <c r="D46" s="377"/>
      <c r="E46" s="377"/>
      <c r="F46" s="377"/>
      <c r="G46" s="377"/>
      <c r="H46" s="377"/>
      <c r="I46" s="377"/>
      <c r="J46" s="377"/>
      <c r="K46" s="377"/>
      <c r="L46" s="377"/>
      <c r="M46" s="377"/>
      <c r="N46" s="377"/>
      <c r="O46" s="377"/>
      <c r="P46" s="377"/>
      <c r="Q46" s="378"/>
    </row>
    <row r="47" spans="1:17" ht="15">
      <c r="A47" s="176">
        <v>3</v>
      </c>
      <c r="B47" s="175" t="s">
        <v>545</v>
      </c>
      <c r="C47" s="376"/>
      <c r="D47" s="377"/>
      <c r="E47" s="377"/>
      <c r="F47" s="377"/>
      <c r="G47" s="377"/>
      <c r="H47" s="377"/>
      <c r="I47" s="377"/>
      <c r="J47" s="377"/>
      <c r="K47" s="377"/>
      <c r="L47" s="377"/>
      <c r="M47" s="377"/>
      <c r="N47" s="377"/>
      <c r="O47" s="377"/>
      <c r="P47" s="377"/>
      <c r="Q47" s="378"/>
    </row>
    <row r="48" spans="1:17" ht="15">
      <c r="A48" s="176"/>
      <c r="B48" s="129" t="s">
        <v>544</v>
      </c>
      <c r="C48" s="376"/>
      <c r="D48" s="377"/>
      <c r="E48" s="377"/>
      <c r="F48" s="377"/>
      <c r="G48" s="377"/>
      <c r="H48" s="377"/>
      <c r="I48" s="377"/>
      <c r="J48" s="377"/>
      <c r="K48" s="377"/>
      <c r="L48" s="377"/>
      <c r="M48" s="377"/>
      <c r="N48" s="377"/>
      <c r="O48" s="377"/>
      <c r="P48" s="377"/>
      <c r="Q48" s="378"/>
    </row>
    <row r="49" spans="1:17" ht="15">
      <c r="A49" s="176"/>
      <c r="B49" s="129" t="s">
        <v>543</v>
      </c>
      <c r="C49" s="376"/>
      <c r="D49" s="377"/>
      <c r="E49" s="377"/>
      <c r="F49" s="377"/>
      <c r="G49" s="377"/>
      <c r="H49" s="377"/>
      <c r="I49" s="377"/>
      <c r="J49" s="377"/>
      <c r="K49" s="377"/>
      <c r="L49" s="377"/>
      <c r="M49" s="377"/>
      <c r="N49" s="377"/>
      <c r="O49" s="377"/>
      <c r="P49" s="377"/>
      <c r="Q49" s="378"/>
    </row>
    <row r="50" spans="1:17" ht="15">
      <c r="A50" s="176"/>
      <c r="B50" s="129" t="s">
        <v>542</v>
      </c>
      <c r="C50" s="376"/>
      <c r="D50" s="377"/>
      <c r="E50" s="377"/>
      <c r="F50" s="377"/>
      <c r="G50" s="377"/>
      <c r="H50" s="377"/>
      <c r="I50" s="377"/>
      <c r="J50" s="377"/>
      <c r="K50" s="377"/>
      <c r="L50" s="377"/>
      <c r="M50" s="377"/>
      <c r="N50" s="377"/>
      <c r="O50" s="377"/>
      <c r="P50" s="377"/>
      <c r="Q50" s="378"/>
    </row>
    <row r="51" spans="1:17" ht="15">
      <c r="A51" s="176"/>
      <c r="B51" s="129" t="s">
        <v>541</v>
      </c>
      <c r="C51" s="376"/>
      <c r="D51" s="377"/>
      <c r="E51" s="377"/>
      <c r="F51" s="377"/>
      <c r="G51" s="377"/>
      <c r="H51" s="377"/>
      <c r="I51" s="377"/>
      <c r="J51" s="377"/>
      <c r="K51" s="377"/>
      <c r="L51" s="377"/>
      <c r="M51" s="377"/>
      <c r="N51" s="377"/>
      <c r="O51" s="377"/>
      <c r="P51" s="377"/>
      <c r="Q51" s="378"/>
    </row>
    <row r="52" spans="1:17" ht="30">
      <c r="A52" s="176"/>
      <c r="B52" s="132" t="s">
        <v>540</v>
      </c>
      <c r="C52" s="376"/>
      <c r="D52" s="377"/>
      <c r="E52" s="377"/>
      <c r="F52" s="377"/>
      <c r="G52" s="377"/>
      <c r="H52" s="377"/>
      <c r="I52" s="377"/>
      <c r="J52" s="377"/>
      <c r="K52" s="377"/>
      <c r="L52" s="377"/>
      <c r="M52" s="377"/>
      <c r="N52" s="377"/>
      <c r="O52" s="377"/>
      <c r="P52" s="377"/>
      <c r="Q52" s="378"/>
    </row>
    <row r="53" spans="1:17" ht="30">
      <c r="A53" s="131">
        <v>4</v>
      </c>
      <c r="B53" s="177" t="s">
        <v>539</v>
      </c>
      <c r="C53" s="376"/>
      <c r="D53" s="377"/>
      <c r="E53" s="377"/>
      <c r="F53" s="377"/>
      <c r="G53" s="377"/>
      <c r="H53" s="377"/>
      <c r="I53" s="377"/>
      <c r="J53" s="377"/>
      <c r="K53" s="377"/>
      <c r="L53" s="377"/>
      <c r="M53" s="377"/>
      <c r="N53" s="377"/>
      <c r="O53" s="377"/>
      <c r="P53" s="377"/>
      <c r="Q53" s="378"/>
    </row>
    <row r="54" spans="1:17" ht="21" customHeight="1">
      <c r="A54" s="131"/>
      <c r="B54" s="177" t="s">
        <v>538</v>
      </c>
      <c r="C54" s="376"/>
      <c r="D54" s="377"/>
      <c r="E54" s="377"/>
      <c r="F54" s="377"/>
      <c r="G54" s="377"/>
      <c r="H54" s="377"/>
      <c r="I54" s="377"/>
      <c r="J54" s="377"/>
      <c r="K54" s="377"/>
      <c r="L54" s="377"/>
      <c r="M54" s="377"/>
      <c r="N54" s="377"/>
      <c r="O54" s="377"/>
      <c r="P54" s="377"/>
      <c r="Q54" s="378"/>
    </row>
    <row r="55" spans="1:17" ht="15">
      <c r="A55" s="176"/>
      <c r="B55" s="175" t="s">
        <v>537</v>
      </c>
      <c r="C55" s="376"/>
      <c r="D55" s="377"/>
      <c r="E55" s="377"/>
      <c r="F55" s="377"/>
      <c r="G55" s="377"/>
      <c r="H55" s="377"/>
      <c r="I55" s="377"/>
      <c r="J55" s="377"/>
      <c r="K55" s="377"/>
      <c r="L55" s="377"/>
      <c r="M55" s="377"/>
      <c r="N55" s="377"/>
      <c r="O55" s="377"/>
      <c r="P55" s="377"/>
      <c r="Q55" s="378"/>
    </row>
    <row r="56" spans="1:17" ht="15">
      <c r="A56" s="176"/>
      <c r="B56" s="175" t="s">
        <v>536</v>
      </c>
      <c r="C56" s="376"/>
      <c r="D56" s="377"/>
      <c r="E56" s="377"/>
      <c r="F56" s="377"/>
      <c r="G56" s="377"/>
      <c r="H56" s="377"/>
      <c r="I56" s="377"/>
      <c r="J56" s="377"/>
      <c r="K56" s="377"/>
      <c r="L56" s="377"/>
      <c r="M56" s="377"/>
      <c r="N56" s="377"/>
      <c r="O56" s="377"/>
      <c r="P56" s="377"/>
      <c r="Q56" s="378"/>
    </row>
    <row r="57" spans="1:17" ht="45">
      <c r="A57" s="176"/>
      <c r="B57" s="177" t="s">
        <v>535</v>
      </c>
      <c r="C57" s="376"/>
      <c r="D57" s="377"/>
      <c r="E57" s="377"/>
      <c r="F57" s="377"/>
      <c r="G57" s="377"/>
      <c r="H57" s="377"/>
      <c r="I57" s="377"/>
      <c r="J57" s="377"/>
      <c r="K57" s="377"/>
      <c r="L57" s="377"/>
      <c r="M57" s="377"/>
      <c r="N57" s="377"/>
      <c r="O57" s="377"/>
      <c r="P57" s="377"/>
      <c r="Q57" s="378"/>
    </row>
    <row r="58" spans="1:17" ht="15">
      <c r="A58" s="176">
        <v>5</v>
      </c>
      <c r="B58" s="175" t="s">
        <v>534</v>
      </c>
      <c r="C58" s="376"/>
      <c r="D58" s="377"/>
      <c r="E58" s="377"/>
      <c r="F58" s="377"/>
      <c r="G58" s="377"/>
      <c r="H58" s="377"/>
      <c r="I58" s="377"/>
      <c r="J58" s="377"/>
      <c r="K58" s="377"/>
      <c r="L58" s="377"/>
      <c r="M58" s="377"/>
      <c r="N58" s="377"/>
      <c r="O58" s="377"/>
      <c r="P58" s="377"/>
      <c r="Q58" s="378"/>
    </row>
    <row r="59" spans="1:17" ht="15">
      <c r="A59" s="33"/>
      <c r="B59" s="175" t="s">
        <v>2</v>
      </c>
      <c r="C59" s="379"/>
      <c r="D59" s="380"/>
      <c r="E59" s="380"/>
      <c r="F59" s="380"/>
      <c r="G59" s="380"/>
      <c r="H59" s="380"/>
      <c r="I59" s="380"/>
      <c r="J59" s="380"/>
      <c r="K59" s="380"/>
      <c r="L59" s="380"/>
      <c r="M59" s="380"/>
      <c r="N59" s="380"/>
      <c r="O59" s="380"/>
      <c r="P59" s="380"/>
      <c r="Q59" s="381"/>
    </row>
    <row r="61" ht="18.75">
      <c r="N61" s="143" t="s">
        <v>559</v>
      </c>
    </row>
    <row r="62" spans="1:17" ht="15">
      <c r="A62" s="174" t="s">
        <v>558</v>
      </c>
      <c r="B62" s="174"/>
      <c r="C62" s="174"/>
      <c r="D62" s="174"/>
      <c r="E62" s="174"/>
      <c r="F62" s="174"/>
      <c r="G62" s="174"/>
      <c r="H62" s="174"/>
      <c r="I62" s="174"/>
      <c r="J62" s="174"/>
      <c r="K62" s="174"/>
      <c r="L62" s="174"/>
      <c r="M62" s="174"/>
      <c r="N62" s="174"/>
      <c r="O62" s="174"/>
      <c r="P62" s="174"/>
      <c r="Q62" s="174"/>
    </row>
    <row r="64" spans="1:17" ht="15">
      <c r="A64" s="294" t="s">
        <v>557</v>
      </c>
      <c r="B64" s="294"/>
      <c r="C64" s="294"/>
      <c r="D64" s="294"/>
      <c r="E64" s="294"/>
      <c r="F64" s="294"/>
      <c r="G64" s="294"/>
      <c r="H64" s="294"/>
      <c r="I64" s="294"/>
      <c r="J64" s="294"/>
      <c r="K64" s="294"/>
      <c r="L64" s="294"/>
      <c r="M64" s="294"/>
      <c r="N64" s="294"/>
      <c r="O64" s="294"/>
      <c r="P64" s="294"/>
      <c r="Q64" s="294"/>
    </row>
    <row r="65" spans="1:17" ht="15">
      <c r="A65" s="33"/>
      <c r="B65" s="33"/>
      <c r="C65" s="33"/>
      <c r="D65" s="33"/>
      <c r="E65" s="33"/>
      <c r="F65" s="33"/>
      <c r="G65" s="33"/>
      <c r="H65" s="33"/>
      <c r="I65" s="33" t="s">
        <v>481</v>
      </c>
      <c r="J65" s="33"/>
      <c r="K65" s="33" t="s">
        <v>507</v>
      </c>
      <c r="L65" s="33"/>
      <c r="M65" s="33"/>
      <c r="N65" s="33"/>
      <c r="O65" s="33"/>
      <c r="P65" s="33"/>
      <c r="Q65" s="33"/>
    </row>
    <row r="66" spans="1:17" ht="15">
      <c r="A66" s="33" t="s">
        <v>556</v>
      </c>
      <c r="B66" s="33" t="s">
        <v>506</v>
      </c>
      <c r="C66" s="33" t="s">
        <v>555</v>
      </c>
      <c r="D66" s="33" t="s">
        <v>76</v>
      </c>
      <c r="E66" s="33" t="s">
        <v>36</v>
      </c>
      <c r="F66" s="33" t="s">
        <v>35</v>
      </c>
      <c r="G66" s="33" t="s">
        <v>34</v>
      </c>
      <c r="H66" s="33" t="s">
        <v>33</v>
      </c>
      <c r="I66" s="33" t="s">
        <v>32</v>
      </c>
      <c r="J66" s="33" t="s">
        <v>31</v>
      </c>
      <c r="K66" s="33" t="s">
        <v>30</v>
      </c>
      <c r="L66" s="33" t="s">
        <v>29</v>
      </c>
      <c r="M66" s="33" t="s">
        <v>28</v>
      </c>
      <c r="N66" s="33" t="s">
        <v>27</v>
      </c>
      <c r="O66" s="33" t="s">
        <v>26</v>
      </c>
      <c r="P66" s="33" t="s">
        <v>25</v>
      </c>
      <c r="Q66" s="33" t="s">
        <v>24</v>
      </c>
    </row>
    <row r="67" spans="1:17" ht="15">
      <c r="A67" s="33">
        <v>1</v>
      </c>
      <c r="B67" s="33" t="s">
        <v>554</v>
      </c>
      <c r="C67" s="33"/>
      <c r="D67" s="33"/>
      <c r="E67" s="33"/>
      <c r="F67" s="33"/>
      <c r="G67" s="33"/>
      <c r="H67" s="33"/>
      <c r="I67" s="33"/>
      <c r="J67" s="33"/>
      <c r="K67" s="33"/>
      <c r="L67" s="33"/>
      <c r="M67" s="33"/>
      <c r="N67" s="33"/>
      <c r="O67" s="33"/>
      <c r="P67" s="33"/>
      <c r="Q67" s="33"/>
    </row>
    <row r="68" spans="1:17" ht="30">
      <c r="A68" s="33"/>
      <c r="B68" s="172" t="s">
        <v>553</v>
      </c>
      <c r="C68" s="130">
        <v>283</v>
      </c>
      <c r="D68" s="130">
        <v>283</v>
      </c>
      <c r="E68" s="130">
        <v>283</v>
      </c>
      <c r="F68" s="130">
        <v>284</v>
      </c>
      <c r="G68" s="130">
        <v>344</v>
      </c>
      <c r="H68" s="130">
        <v>730</v>
      </c>
      <c r="I68" s="130">
        <v>1375</v>
      </c>
      <c r="J68" s="130">
        <v>1402.5</v>
      </c>
      <c r="K68" s="130">
        <v>1542.75</v>
      </c>
      <c r="L68" s="130">
        <v>1697.025</v>
      </c>
      <c r="M68" s="130">
        <v>1866.7275000000002</v>
      </c>
      <c r="N68" s="130">
        <v>2053.4002500000006</v>
      </c>
      <c r="O68" s="130">
        <v>2258.740275000001</v>
      </c>
      <c r="P68" s="130">
        <v>2484.6143025000015</v>
      </c>
      <c r="Q68" s="130">
        <v>2733.075732750002</v>
      </c>
    </row>
    <row r="69" spans="1:17" ht="30">
      <c r="A69" s="33"/>
      <c r="B69" s="172" t="s">
        <v>552</v>
      </c>
      <c r="C69" s="130"/>
      <c r="D69" s="130"/>
      <c r="E69" s="130"/>
      <c r="F69" s="130"/>
      <c r="G69" s="130"/>
      <c r="H69" s="130"/>
      <c r="I69" s="130"/>
      <c r="J69" s="130"/>
      <c r="K69" s="130"/>
      <c r="L69" s="130"/>
      <c r="M69" s="130"/>
      <c r="N69" s="130"/>
      <c r="O69" s="130"/>
      <c r="P69" s="130"/>
      <c r="Q69" s="130"/>
    </row>
    <row r="70" spans="1:17" ht="30">
      <c r="A70" s="33"/>
      <c r="B70" s="172" t="s">
        <v>551</v>
      </c>
      <c r="C70" s="130">
        <v>92.37</v>
      </c>
      <c r="D70" s="130">
        <v>86.66</v>
      </c>
      <c r="E70" s="130">
        <v>106.4</v>
      </c>
      <c r="F70" s="130">
        <v>301</v>
      </c>
      <c r="G70" s="130">
        <v>297</v>
      </c>
      <c r="H70" s="130">
        <v>366</v>
      </c>
      <c r="I70" s="130">
        <v>403</v>
      </c>
      <c r="J70" s="130">
        <v>443.3</v>
      </c>
      <c r="K70" s="130">
        <v>487.63000000000005</v>
      </c>
      <c r="L70" s="130">
        <v>536.3930000000001</v>
      </c>
      <c r="M70" s="130">
        <v>590.0323000000002</v>
      </c>
      <c r="N70" s="130">
        <v>619.5339150000002</v>
      </c>
      <c r="O70" s="130">
        <v>650.5106107500003</v>
      </c>
      <c r="P70" s="130">
        <v>683.0361412875003</v>
      </c>
      <c r="Q70" s="130">
        <v>717.1879483518753</v>
      </c>
    </row>
    <row r="71" spans="1:17" ht="45">
      <c r="A71" s="33"/>
      <c r="B71" s="172" t="s">
        <v>550</v>
      </c>
      <c r="C71" s="130">
        <v>282.18</v>
      </c>
      <c r="D71" s="130">
        <v>282.18</v>
      </c>
      <c r="E71" s="130">
        <v>282.18</v>
      </c>
      <c r="F71" s="130">
        <v>282.18</v>
      </c>
      <c r="G71" s="130">
        <v>509.35</v>
      </c>
      <c r="H71" s="130">
        <v>509.35</v>
      </c>
      <c r="I71" s="130">
        <v>509.35</v>
      </c>
      <c r="J71" s="130">
        <v>509.35</v>
      </c>
      <c r="K71" s="130">
        <v>1065</v>
      </c>
      <c r="L71" s="130">
        <v>1065</v>
      </c>
      <c r="M71" s="130">
        <v>1065</v>
      </c>
      <c r="N71" s="130">
        <v>1065</v>
      </c>
      <c r="O71" s="130">
        <v>1065</v>
      </c>
      <c r="P71" s="130">
        <v>1065</v>
      </c>
      <c r="Q71" s="130">
        <v>1065</v>
      </c>
    </row>
    <row r="72" spans="1:17" ht="15">
      <c r="A72" s="33">
        <v>2</v>
      </c>
      <c r="B72" s="33" t="s">
        <v>549</v>
      </c>
      <c r="C72" s="130"/>
      <c r="D72" s="130"/>
      <c r="E72" s="130"/>
      <c r="F72" s="130"/>
      <c r="G72" s="130"/>
      <c r="H72" s="130"/>
      <c r="I72" s="130"/>
      <c r="J72" s="130"/>
      <c r="K72" s="130"/>
      <c r="L72" s="130"/>
      <c r="M72" s="130"/>
      <c r="N72" s="130"/>
      <c r="O72" s="130"/>
      <c r="P72" s="130"/>
      <c r="Q72" s="130"/>
    </row>
    <row r="73" spans="1:17" ht="15">
      <c r="A73" s="33"/>
      <c r="B73" s="33" t="s">
        <v>544</v>
      </c>
      <c r="C73" s="130">
        <v>313.29</v>
      </c>
      <c r="D73" s="130">
        <v>2.89</v>
      </c>
      <c r="E73" s="130">
        <v>3.07</v>
      </c>
      <c r="F73" s="130">
        <v>405</v>
      </c>
      <c r="G73" s="130">
        <v>339</v>
      </c>
      <c r="H73" s="130">
        <v>426.13</v>
      </c>
      <c r="I73" s="130">
        <v>565</v>
      </c>
      <c r="J73" s="130">
        <v>640.59</v>
      </c>
      <c r="K73" s="130">
        <v>704.6490000000001</v>
      </c>
      <c r="L73" s="130">
        <v>775.1139000000002</v>
      </c>
      <c r="M73" s="130">
        <v>852.6252900000003</v>
      </c>
      <c r="N73" s="130">
        <v>937.8878190000004</v>
      </c>
      <c r="O73" s="130">
        <v>1031.6766009000005</v>
      </c>
      <c r="P73" s="130">
        <v>1134.8442609900007</v>
      </c>
      <c r="Q73" s="130">
        <v>1248.3286870890008</v>
      </c>
    </row>
    <row r="74" spans="1:17" ht="30">
      <c r="A74" s="33"/>
      <c r="B74" s="172" t="s">
        <v>543</v>
      </c>
      <c r="C74" s="130">
        <v>143</v>
      </c>
      <c r="D74" s="130">
        <v>145</v>
      </c>
      <c r="E74" s="130">
        <v>137</v>
      </c>
      <c r="F74" s="130">
        <v>494.48</v>
      </c>
      <c r="G74" s="130">
        <v>440.1</v>
      </c>
      <c r="H74" s="130">
        <v>296</v>
      </c>
      <c r="I74" s="130">
        <v>879</v>
      </c>
      <c r="J74" s="130">
        <v>1011.9</v>
      </c>
      <c r="K74" s="130">
        <v>1113.0900000000001</v>
      </c>
      <c r="L74" s="130">
        <v>1224.3990000000003</v>
      </c>
      <c r="M74" s="130">
        <v>1346.8389000000004</v>
      </c>
      <c r="N74" s="130">
        <v>1481.5227900000007</v>
      </c>
      <c r="O74" s="130">
        <v>1629.6750690000008</v>
      </c>
      <c r="P74" s="130">
        <v>1792.642575900001</v>
      </c>
      <c r="Q74" s="130">
        <v>1971.9068334900012</v>
      </c>
    </row>
    <row r="75" spans="1:17" ht="15">
      <c r="A75" s="33"/>
      <c r="B75" s="33" t="s">
        <v>542</v>
      </c>
      <c r="C75" s="130">
        <v>48.02</v>
      </c>
      <c r="D75" s="130">
        <v>49</v>
      </c>
      <c r="E75" s="130">
        <v>45.55</v>
      </c>
      <c r="F75" s="130">
        <v>57</v>
      </c>
      <c r="G75" s="130">
        <v>117</v>
      </c>
      <c r="H75" s="130">
        <v>90</v>
      </c>
      <c r="I75" s="130">
        <v>138</v>
      </c>
      <c r="J75" s="130">
        <v>151.8</v>
      </c>
      <c r="K75" s="130">
        <v>166.98000000000002</v>
      </c>
      <c r="L75" s="130">
        <v>183.67800000000003</v>
      </c>
      <c r="M75" s="130">
        <v>202.04580000000004</v>
      </c>
      <c r="N75" s="130">
        <v>212.14809000000005</v>
      </c>
      <c r="O75" s="130">
        <v>222.75549450000005</v>
      </c>
      <c r="P75" s="130">
        <v>233.89326922500007</v>
      </c>
      <c r="Q75" s="130">
        <v>245.58793268625007</v>
      </c>
    </row>
    <row r="76" spans="1:17" ht="30">
      <c r="A76" s="33"/>
      <c r="B76" s="172" t="s">
        <v>541</v>
      </c>
      <c r="C76" s="130"/>
      <c r="D76" s="130"/>
      <c r="E76" s="130"/>
      <c r="F76" s="130"/>
      <c r="G76" s="130"/>
      <c r="H76" s="130"/>
      <c r="I76" s="130"/>
      <c r="J76" s="130"/>
      <c r="K76" s="130"/>
      <c r="L76" s="130"/>
      <c r="M76" s="130"/>
      <c r="N76" s="130"/>
      <c r="O76" s="130"/>
      <c r="P76" s="130"/>
      <c r="Q76" s="130"/>
    </row>
    <row r="77" spans="1:17" ht="15">
      <c r="A77" s="33"/>
      <c r="B77" s="33" t="s">
        <v>548</v>
      </c>
      <c r="C77" s="130"/>
      <c r="D77" s="130"/>
      <c r="E77" s="130"/>
      <c r="F77" s="130"/>
      <c r="G77" s="130"/>
      <c r="H77" s="130"/>
      <c r="I77" s="130"/>
      <c r="J77" s="130"/>
      <c r="K77" s="130"/>
      <c r="L77" s="130"/>
      <c r="M77" s="130"/>
      <c r="N77" s="130"/>
      <c r="O77" s="130"/>
      <c r="P77" s="130"/>
      <c r="Q77" s="130"/>
    </row>
    <row r="78" spans="1:17" ht="45" customHeight="1">
      <c r="A78" s="33"/>
      <c r="B78" s="172" t="s">
        <v>547</v>
      </c>
      <c r="C78" s="130">
        <v>25</v>
      </c>
      <c r="D78" s="130">
        <v>55</v>
      </c>
      <c r="E78" s="130">
        <v>276.25</v>
      </c>
      <c r="F78" s="130">
        <v>581.73</v>
      </c>
      <c r="G78" s="130">
        <v>511.15</v>
      </c>
      <c r="H78" s="130">
        <v>522</v>
      </c>
      <c r="I78" s="130">
        <v>750</v>
      </c>
      <c r="J78" s="130">
        <v>825.0000000000001</v>
      </c>
      <c r="K78" s="130">
        <v>907.5000000000002</v>
      </c>
      <c r="L78" s="130">
        <v>998.2500000000003</v>
      </c>
      <c r="M78" s="130">
        <v>1098.0750000000005</v>
      </c>
      <c r="N78" s="130">
        <v>1152.9787500000007</v>
      </c>
      <c r="O78" s="130">
        <v>1210.6276875000008</v>
      </c>
      <c r="P78" s="130">
        <v>1271.1590718750008</v>
      </c>
      <c r="Q78" s="130">
        <v>1334.717025468751</v>
      </c>
    </row>
    <row r="79" spans="1:17" ht="45">
      <c r="A79" s="33"/>
      <c r="B79" s="172" t="s">
        <v>546</v>
      </c>
      <c r="C79" s="130"/>
      <c r="D79" s="130">
        <v>650.12</v>
      </c>
      <c r="E79" s="130">
        <v>791.2</v>
      </c>
      <c r="F79" s="130">
        <v>412</v>
      </c>
      <c r="G79" s="130">
        <v>517</v>
      </c>
      <c r="H79" s="130">
        <v>525</v>
      </c>
      <c r="I79" s="130">
        <v>1156.83</v>
      </c>
      <c r="J79" s="130">
        <v>1227.8349</v>
      </c>
      <c r="K79" s="130">
        <v>1304.236947</v>
      </c>
      <c r="L79" s="130">
        <v>1386.49208541</v>
      </c>
      <c r="M79" s="130">
        <v>1475.0964006723002</v>
      </c>
      <c r="N79" s="130">
        <v>1502.2691552114693</v>
      </c>
      <c r="O79" s="130">
        <v>1530.0862910120034</v>
      </c>
      <c r="P79" s="130">
        <v>1558.5654314979952</v>
      </c>
      <c r="Q79" s="130">
        <v>1587.7247117161235</v>
      </c>
    </row>
    <row r="80" spans="1:17" ht="15">
      <c r="A80" s="33">
        <v>3</v>
      </c>
      <c r="B80" s="33" t="s">
        <v>545</v>
      </c>
      <c r="C80" s="130"/>
      <c r="D80" s="130"/>
      <c r="E80" s="130"/>
      <c r="F80" s="130"/>
      <c r="G80" s="130"/>
      <c r="H80" s="130"/>
      <c r="I80" s="130"/>
      <c r="J80" s="130"/>
      <c r="K80" s="130"/>
      <c r="L80" s="130"/>
      <c r="M80" s="130"/>
      <c r="N80" s="130"/>
      <c r="O80" s="130"/>
      <c r="P80" s="130"/>
      <c r="Q80" s="130"/>
    </row>
    <row r="81" spans="1:17" ht="15">
      <c r="A81" s="33"/>
      <c r="B81" s="33" t="s">
        <v>544</v>
      </c>
      <c r="C81" s="130"/>
      <c r="D81" s="130"/>
      <c r="E81" s="130"/>
      <c r="F81" s="130"/>
      <c r="G81" s="130"/>
      <c r="H81" s="130"/>
      <c r="I81" s="130"/>
      <c r="J81" s="130"/>
      <c r="K81" s="130"/>
      <c r="L81" s="130"/>
      <c r="M81" s="130"/>
      <c r="N81" s="130"/>
      <c r="O81" s="130"/>
      <c r="P81" s="130"/>
      <c r="Q81" s="130"/>
    </row>
    <row r="82" spans="1:17" ht="30">
      <c r="A82" s="33"/>
      <c r="B82" s="172" t="s">
        <v>543</v>
      </c>
      <c r="C82" s="130">
        <v>4209.84</v>
      </c>
      <c r="D82" s="130">
        <v>9803.98</v>
      </c>
      <c r="E82" s="130">
        <v>7193.82</v>
      </c>
      <c r="F82" s="130">
        <v>10177.38</v>
      </c>
      <c r="G82" s="130">
        <v>6923.1</v>
      </c>
      <c r="H82" s="130">
        <v>7346.1</v>
      </c>
      <c r="I82" s="130">
        <v>10805.3</v>
      </c>
      <c r="J82" s="130">
        <v>8460</v>
      </c>
      <c r="K82" s="130">
        <v>9306</v>
      </c>
      <c r="L82" s="173">
        <v>10236.6</v>
      </c>
      <c r="M82" s="173">
        <v>11260.260000000002</v>
      </c>
      <c r="N82" s="173">
        <v>12386.286000000004</v>
      </c>
      <c r="O82" s="173">
        <v>13624.914600000006</v>
      </c>
      <c r="P82" s="173">
        <v>14987.406060000007</v>
      </c>
      <c r="Q82" s="173">
        <v>16486.146666000008</v>
      </c>
    </row>
    <row r="83" spans="1:17" ht="15">
      <c r="A83" s="33"/>
      <c r="B83" s="33" t="s">
        <v>542</v>
      </c>
      <c r="C83" s="130"/>
      <c r="D83" s="130"/>
      <c r="E83" s="130"/>
      <c r="F83" s="130"/>
      <c r="G83" s="130"/>
      <c r="H83" s="130"/>
      <c r="I83" s="130"/>
      <c r="J83" s="130"/>
      <c r="K83" s="130"/>
      <c r="L83" s="130"/>
      <c r="M83" s="130"/>
      <c r="N83" s="130"/>
      <c r="O83" s="130"/>
      <c r="P83" s="130"/>
      <c r="Q83" s="130"/>
    </row>
    <row r="84" spans="1:17" ht="30">
      <c r="A84" s="33"/>
      <c r="B84" s="172" t="s">
        <v>541</v>
      </c>
      <c r="C84" s="130"/>
      <c r="D84" s="130"/>
      <c r="E84" s="130"/>
      <c r="F84" s="130"/>
      <c r="G84" s="130"/>
      <c r="H84" s="130"/>
      <c r="I84" s="130"/>
      <c r="J84" s="130"/>
      <c r="K84" s="130"/>
      <c r="L84" s="130"/>
      <c r="M84" s="130"/>
      <c r="N84" s="130"/>
      <c r="O84" s="130"/>
      <c r="P84" s="130"/>
      <c r="Q84" s="130"/>
    </row>
    <row r="85" spans="1:17" ht="30">
      <c r="A85" s="33"/>
      <c r="B85" s="172" t="s">
        <v>540</v>
      </c>
      <c r="C85" s="130"/>
      <c r="D85" s="130"/>
      <c r="E85" s="130"/>
      <c r="F85" s="130"/>
      <c r="G85" s="130"/>
      <c r="H85" s="130"/>
      <c r="I85" s="130"/>
      <c r="J85" s="130"/>
      <c r="K85" s="130"/>
      <c r="L85" s="130"/>
      <c r="M85" s="130"/>
      <c r="N85" s="130"/>
      <c r="O85" s="130"/>
      <c r="P85" s="130"/>
      <c r="Q85" s="130"/>
    </row>
    <row r="86" spans="1:17" ht="30">
      <c r="A86" s="33">
        <v>4</v>
      </c>
      <c r="B86" s="172" t="s">
        <v>539</v>
      </c>
      <c r="C86" s="130"/>
      <c r="D86" s="130"/>
      <c r="E86" s="130"/>
      <c r="F86" s="130"/>
      <c r="G86" s="130"/>
      <c r="H86" s="130"/>
      <c r="I86" s="130"/>
      <c r="J86" s="130"/>
      <c r="K86" s="130"/>
      <c r="L86" s="130"/>
      <c r="M86" s="130"/>
      <c r="N86" s="130"/>
      <c r="O86" s="130"/>
      <c r="P86" s="130"/>
      <c r="Q86" s="130"/>
    </row>
    <row r="87" spans="1:17" ht="30">
      <c r="A87" s="33"/>
      <c r="B87" s="172" t="s">
        <v>538</v>
      </c>
      <c r="C87" s="130">
        <v>140</v>
      </c>
      <c r="D87" s="130">
        <v>138.91</v>
      </c>
      <c r="E87" s="130">
        <v>144.45</v>
      </c>
      <c r="F87" s="130">
        <v>173</v>
      </c>
      <c r="G87" s="130">
        <v>165</v>
      </c>
      <c r="H87" s="130">
        <v>119</v>
      </c>
      <c r="I87" s="130">
        <v>271</v>
      </c>
      <c r="J87" s="130">
        <v>284.55</v>
      </c>
      <c r="K87" s="130">
        <v>298.77750000000003</v>
      </c>
      <c r="L87" s="130">
        <v>313.716375</v>
      </c>
      <c r="M87" s="130">
        <v>329.40219375000004</v>
      </c>
      <c r="N87" s="130">
        <v>332.69621568750006</v>
      </c>
      <c r="O87" s="130">
        <v>336.0231778443751</v>
      </c>
      <c r="P87" s="130">
        <v>339.3834096228188</v>
      </c>
      <c r="Q87" s="130">
        <v>342.777243719047</v>
      </c>
    </row>
    <row r="88" spans="1:17" ht="15">
      <c r="A88" s="33"/>
      <c r="B88" s="33" t="s">
        <v>537</v>
      </c>
      <c r="C88" s="130">
        <v>20</v>
      </c>
      <c r="D88" s="130">
        <v>25.55</v>
      </c>
      <c r="E88" s="130">
        <v>25.87</v>
      </c>
      <c r="F88" s="130">
        <v>27</v>
      </c>
      <c r="G88" s="130">
        <v>40</v>
      </c>
      <c r="H88" s="130">
        <v>39</v>
      </c>
      <c r="I88" s="130">
        <v>26</v>
      </c>
      <c r="J88" s="130">
        <v>28.6</v>
      </c>
      <c r="K88" s="130">
        <v>31.46</v>
      </c>
      <c r="L88" s="130">
        <v>34.606</v>
      </c>
      <c r="M88" s="130">
        <v>38.06660000000001</v>
      </c>
      <c r="N88" s="130">
        <v>41.87326000000001</v>
      </c>
      <c r="O88" s="130">
        <v>46.060586000000015</v>
      </c>
      <c r="P88" s="130">
        <v>50.66664460000002</v>
      </c>
      <c r="Q88" s="130">
        <v>55.733309060000025</v>
      </c>
    </row>
    <row r="89" spans="1:17" ht="15">
      <c r="A89" s="33"/>
      <c r="B89" s="33" t="s">
        <v>536</v>
      </c>
      <c r="C89" s="130">
        <v>0.2</v>
      </c>
      <c r="D89" s="130">
        <v>0.4</v>
      </c>
      <c r="E89" s="130">
        <v>0.5</v>
      </c>
      <c r="F89" s="130">
        <v>0.2</v>
      </c>
      <c r="G89" s="130">
        <v>0.4</v>
      </c>
      <c r="H89" s="130">
        <v>1.37</v>
      </c>
      <c r="I89" s="130">
        <v>0.44</v>
      </c>
      <c r="J89" s="130">
        <v>0.484</v>
      </c>
      <c r="K89" s="130">
        <v>0.5324</v>
      </c>
      <c r="L89" s="130">
        <v>0.5856399999999999</v>
      </c>
      <c r="M89" s="130">
        <v>0.644204</v>
      </c>
      <c r="N89" s="130">
        <v>0.7086244</v>
      </c>
      <c r="O89" s="130">
        <v>0.7794868400000001</v>
      </c>
      <c r="P89" s="130">
        <v>0.8574355240000002</v>
      </c>
      <c r="Q89" s="130">
        <v>0.9431790764000003</v>
      </c>
    </row>
    <row r="90" spans="1:17" ht="45">
      <c r="A90" s="33"/>
      <c r="B90" s="172" t="s">
        <v>535</v>
      </c>
      <c r="C90" s="130"/>
      <c r="D90" s="130"/>
      <c r="E90" s="130"/>
      <c r="F90" s="130"/>
      <c r="G90" s="130"/>
      <c r="H90" s="130"/>
      <c r="I90" s="130"/>
      <c r="J90" s="130"/>
      <c r="K90" s="130"/>
      <c r="L90" s="130"/>
      <c r="M90" s="130"/>
      <c r="N90" s="130"/>
      <c r="O90" s="130"/>
      <c r="P90" s="130"/>
      <c r="Q90" s="130"/>
    </row>
    <row r="91" spans="1:17" ht="15">
      <c r="A91" s="33">
        <v>5</v>
      </c>
      <c r="B91" s="33" t="s">
        <v>534</v>
      </c>
      <c r="C91" s="130"/>
      <c r="D91" s="130"/>
      <c r="E91" s="130"/>
      <c r="F91" s="130"/>
      <c r="G91" s="130"/>
      <c r="H91" s="130"/>
      <c r="I91" s="130"/>
      <c r="J91" s="130"/>
      <c r="K91" s="130"/>
      <c r="L91" s="130"/>
      <c r="M91" s="130"/>
      <c r="N91" s="130"/>
      <c r="O91" s="130"/>
      <c r="P91" s="130"/>
      <c r="Q91" s="130"/>
    </row>
    <row r="92" spans="1:17" ht="15">
      <c r="A92" s="33"/>
      <c r="B92" s="33" t="s">
        <v>533</v>
      </c>
      <c r="C92" s="130">
        <v>0.1</v>
      </c>
      <c r="D92" s="130">
        <v>0.1</v>
      </c>
      <c r="E92" s="130">
        <v>0.2</v>
      </c>
      <c r="F92" s="130">
        <v>0.1</v>
      </c>
      <c r="G92" s="130">
        <v>0.67</v>
      </c>
      <c r="H92" s="130">
        <v>0.03</v>
      </c>
      <c r="I92" s="130">
        <v>0.06</v>
      </c>
      <c r="J92" s="130">
        <v>0.066</v>
      </c>
      <c r="K92" s="130">
        <v>0.0726</v>
      </c>
      <c r="L92" s="130">
        <v>0.07986</v>
      </c>
      <c r="M92" s="130">
        <v>0.08784600000000001</v>
      </c>
      <c r="N92" s="130">
        <v>0.09663060000000001</v>
      </c>
      <c r="O92" s="130">
        <v>0.10629366000000003</v>
      </c>
      <c r="P92" s="130">
        <v>0.11692302600000004</v>
      </c>
      <c r="Q92" s="130">
        <v>0.12861532860000005</v>
      </c>
    </row>
    <row r="93" spans="1:17" ht="15">
      <c r="A93" s="33"/>
      <c r="B93" s="33" t="s">
        <v>532</v>
      </c>
      <c r="C93" s="130">
        <v>0.15</v>
      </c>
      <c r="D93" s="130">
        <v>0.14</v>
      </c>
      <c r="E93" s="130">
        <v>14</v>
      </c>
      <c r="F93" s="130">
        <v>0.12</v>
      </c>
      <c r="G93" s="130">
        <v>0.1</v>
      </c>
      <c r="H93" s="130"/>
      <c r="I93" s="130">
        <v>0.01</v>
      </c>
      <c r="J93" s="130">
        <v>0.011</v>
      </c>
      <c r="K93" s="130">
        <v>0.0121</v>
      </c>
      <c r="L93" s="130">
        <v>0.013309999999999999</v>
      </c>
      <c r="M93" s="130">
        <v>0.014641</v>
      </c>
      <c r="N93" s="130">
        <v>0.0161051</v>
      </c>
      <c r="O93" s="130">
        <v>0.017715610000000003</v>
      </c>
      <c r="P93" s="130">
        <v>0.019487171000000005</v>
      </c>
      <c r="Q93" s="130">
        <v>0.021435888100000005</v>
      </c>
    </row>
    <row r="94" spans="1:17" ht="15">
      <c r="A94" s="33"/>
      <c r="B94" s="33" t="s">
        <v>531</v>
      </c>
      <c r="C94" s="130">
        <v>0.7</v>
      </c>
      <c r="D94" s="130">
        <v>0.81</v>
      </c>
      <c r="E94" s="130">
        <v>0.51</v>
      </c>
      <c r="F94" s="130">
        <v>0.81</v>
      </c>
      <c r="G94" s="130">
        <v>0.13</v>
      </c>
      <c r="H94" s="130">
        <v>0.02</v>
      </c>
      <c r="I94" s="130">
        <v>0.01</v>
      </c>
      <c r="J94" s="130">
        <v>0.011</v>
      </c>
      <c r="K94" s="130">
        <v>0.0121</v>
      </c>
      <c r="L94" s="130">
        <v>0.013309999999999999</v>
      </c>
      <c r="M94" s="130">
        <v>0.014641</v>
      </c>
      <c r="N94" s="130">
        <v>0.0161051</v>
      </c>
      <c r="O94" s="130">
        <v>0.017715610000000003</v>
      </c>
      <c r="P94" s="130">
        <v>0.019487171000000005</v>
      </c>
      <c r="Q94" s="130">
        <v>0.021435888100000005</v>
      </c>
    </row>
    <row r="95" spans="1:17" ht="15">
      <c r="A95" s="33"/>
      <c r="B95" s="33" t="s">
        <v>2</v>
      </c>
      <c r="C95" s="130">
        <f aca="true" t="shared" si="1" ref="C95:Q95">SUM(C68:C94)</f>
        <v>5557.849999999999</v>
      </c>
      <c r="D95" s="130">
        <f t="shared" si="1"/>
        <v>11523.739999999998</v>
      </c>
      <c r="E95" s="130">
        <f t="shared" si="1"/>
        <v>9304.000000000002</v>
      </c>
      <c r="F95" s="130">
        <f t="shared" si="1"/>
        <v>13196.000000000002</v>
      </c>
      <c r="G95" s="130">
        <f t="shared" si="1"/>
        <v>10204</v>
      </c>
      <c r="H95" s="130">
        <f t="shared" si="1"/>
        <v>10970.000000000002</v>
      </c>
      <c r="I95" s="130">
        <f t="shared" si="1"/>
        <v>16878.999999999996</v>
      </c>
      <c r="J95" s="130">
        <f t="shared" si="1"/>
        <v>14985.996900000002</v>
      </c>
      <c r="K95" s="130">
        <f t="shared" si="1"/>
        <v>16928.702647</v>
      </c>
      <c r="L95" s="130">
        <f t="shared" si="1"/>
        <v>18451.965480410003</v>
      </c>
      <c r="M95" s="130">
        <f t="shared" si="1"/>
        <v>20124.931316422306</v>
      </c>
      <c r="N95" s="130">
        <f t="shared" si="1"/>
        <v>21786.433710098976</v>
      </c>
      <c r="O95" s="130">
        <f t="shared" si="1"/>
        <v>23606.991604226387</v>
      </c>
      <c r="P95" s="130">
        <f t="shared" si="1"/>
        <v>25602.22450039033</v>
      </c>
      <c r="Q95" s="130">
        <f t="shared" si="1"/>
        <v>27789.300756512257</v>
      </c>
    </row>
  </sheetData>
  <sheetProtection/>
  <mergeCells count="9">
    <mergeCell ref="C35:Q59"/>
    <mergeCell ref="A64:Q64"/>
    <mergeCell ref="A3:Q3"/>
    <mergeCell ref="C4:J4"/>
    <mergeCell ref="K4:Q4"/>
    <mergeCell ref="A31:J31"/>
    <mergeCell ref="A32:Q32"/>
    <mergeCell ref="I33:J33"/>
    <mergeCell ref="K33:Q33"/>
  </mergeCells>
  <printOptions horizontalCentered="1"/>
  <pageMargins left="0.236220472440945" right="0.15748031496063" top="0.11" bottom="0.38" header="0.28" footer="0.15748031496063"/>
  <pageSetup firstPageNumber="128" useFirstPageNumber="1" horizontalDpi="600" verticalDpi="600" orientation="landscape" paperSize="9" scale="72" r:id="rId1"/>
  <headerFooter alignWithMargins="0">
    <oddFooter>&amp;C&amp;P</oddFooter>
  </headerFooter>
  <rowBreaks count="2" manualBreakCount="2">
    <brk id="28" max="255" man="1"/>
    <brk id="60" max="255" man="1"/>
  </rowBreaks>
</worksheet>
</file>

<file path=xl/worksheets/sheet24.xml><?xml version="1.0" encoding="utf-8"?>
<worksheet xmlns="http://schemas.openxmlformats.org/spreadsheetml/2006/main" xmlns:r="http://schemas.openxmlformats.org/officeDocument/2006/relationships">
  <dimension ref="A1:O188"/>
  <sheetViews>
    <sheetView zoomScalePageLayoutView="0" workbookViewId="0" topLeftCell="A37">
      <selection activeCell="J154" sqref="J154"/>
    </sheetView>
  </sheetViews>
  <sheetFormatPr defaultColWidth="9.140625" defaultRowHeight="15"/>
  <cols>
    <col min="1" max="1" width="5.140625" style="0" customWidth="1"/>
    <col min="2" max="2" width="25.57421875" style="0" customWidth="1"/>
    <col min="3" max="3" width="7.7109375" style="0" customWidth="1"/>
    <col min="4" max="6" width="9.00390625" style="0" bestFit="1" customWidth="1"/>
    <col min="7" max="9" width="9.00390625" style="146" bestFit="1" customWidth="1"/>
    <col min="10" max="11" width="10.57421875" style="0" bestFit="1" customWidth="1"/>
    <col min="12" max="12" width="9.57421875" style="0" customWidth="1"/>
    <col min="13" max="15" width="10.57421875" style="0" bestFit="1" customWidth="1"/>
  </cols>
  <sheetData>
    <row r="1" ht="18.75">
      <c r="L1" s="143" t="s">
        <v>663</v>
      </c>
    </row>
    <row r="2" spans="1:15" ht="15">
      <c r="A2" s="180" t="s">
        <v>522</v>
      </c>
      <c r="B2" s="174"/>
      <c r="C2" s="174"/>
      <c r="D2" s="174"/>
      <c r="E2" s="174"/>
      <c r="F2" s="174"/>
      <c r="G2" s="219"/>
      <c r="H2" s="219"/>
      <c r="I2" s="219"/>
      <c r="J2" s="174"/>
      <c r="K2" s="174"/>
      <c r="L2" s="174"/>
      <c r="M2" s="174"/>
      <c r="N2" s="174"/>
      <c r="O2" s="174"/>
    </row>
    <row r="3" spans="1:8" ht="15.75" thickBot="1">
      <c r="A3" s="372"/>
      <c r="B3" s="372"/>
      <c r="C3" s="372"/>
      <c r="D3" s="372"/>
      <c r="E3" s="372"/>
      <c r="F3" s="372"/>
      <c r="G3" s="372"/>
      <c r="H3" s="372"/>
    </row>
    <row r="4" spans="1:15" ht="19.5" thickBot="1">
      <c r="A4" s="391" t="s">
        <v>662</v>
      </c>
      <c r="B4" s="392"/>
      <c r="C4" s="392"/>
      <c r="D4" s="392"/>
      <c r="E4" s="392"/>
      <c r="F4" s="392"/>
      <c r="G4" s="392"/>
      <c r="H4" s="392"/>
      <c r="I4" s="392"/>
      <c r="J4" s="392"/>
      <c r="K4" s="392"/>
      <c r="L4" s="392"/>
      <c r="M4" s="392"/>
      <c r="N4" s="392"/>
      <c r="O4" s="393"/>
    </row>
    <row r="5" spans="1:15" ht="15.75" thickBot="1">
      <c r="A5" s="239"/>
      <c r="B5" s="238"/>
      <c r="C5" s="238"/>
      <c r="D5" s="238"/>
      <c r="E5" s="238"/>
      <c r="F5" s="238"/>
      <c r="G5" s="394" t="s">
        <v>481</v>
      </c>
      <c r="H5" s="394"/>
      <c r="I5" s="394" t="s">
        <v>507</v>
      </c>
      <c r="J5" s="394"/>
      <c r="K5" s="394"/>
      <c r="L5" s="394"/>
      <c r="M5" s="394"/>
      <c r="N5" s="394"/>
      <c r="O5" s="395"/>
    </row>
    <row r="6" spans="1:15" ht="15.75" thickBot="1">
      <c r="A6" s="216" t="s">
        <v>556</v>
      </c>
      <c r="B6" s="215" t="s">
        <v>506</v>
      </c>
      <c r="C6" s="214" t="s">
        <v>36</v>
      </c>
      <c r="D6" s="214" t="s">
        <v>35</v>
      </c>
      <c r="E6" s="214" t="s">
        <v>34</v>
      </c>
      <c r="F6" s="214" t="s">
        <v>33</v>
      </c>
      <c r="G6" s="214" t="s">
        <v>32</v>
      </c>
      <c r="H6" s="214" t="s">
        <v>31</v>
      </c>
      <c r="I6" s="214" t="s">
        <v>30</v>
      </c>
      <c r="J6" s="214" t="s">
        <v>29</v>
      </c>
      <c r="K6" s="213" t="s">
        <v>28</v>
      </c>
      <c r="L6" s="213" t="s">
        <v>27</v>
      </c>
      <c r="M6" s="213" t="s">
        <v>26</v>
      </c>
      <c r="N6" s="213" t="s">
        <v>25</v>
      </c>
      <c r="O6" s="212" t="s">
        <v>24</v>
      </c>
    </row>
    <row r="7" spans="1:15" ht="15">
      <c r="A7" s="211">
        <v>1</v>
      </c>
      <c r="B7" s="210" t="s">
        <v>554</v>
      </c>
      <c r="C7" s="231">
        <f aca="true" t="shared" si="0" ref="C7:O7">SUM(C8:C13)</f>
        <v>281.23</v>
      </c>
      <c r="D7" s="231">
        <f t="shared" si="0"/>
        <v>309.353</v>
      </c>
      <c r="E7" s="231">
        <f t="shared" si="0"/>
        <v>340.28830000000005</v>
      </c>
      <c r="F7" s="231">
        <f t="shared" si="0"/>
        <v>374.31712999999996</v>
      </c>
      <c r="G7" s="231">
        <f t="shared" si="0"/>
        <v>411.74884299999997</v>
      </c>
      <c r="H7" s="231">
        <f t="shared" si="0"/>
        <v>452.92372729999994</v>
      </c>
      <c r="I7" s="231">
        <f t="shared" si="0"/>
        <v>498.21610003</v>
      </c>
      <c r="J7" s="231">
        <f t="shared" si="0"/>
        <v>548.037710033</v>
      </c>
      <c r="K7" s="231">
        <f t="shared" si="0"/>
        <v>602.8414810363</v>
      </c>
      <c r="L7" s="231">
        <f t="shared" si="0"/>
        <v>663.1256291399301</v>
      </c>
      <c r="M7" s="231">
        <f t="shared" si="0"/>
        <v>729.438192053923</v>
      </c>
      <c r="N7" s="231">
        <f t="shared" si="0"/>
        <v>802.3820112593153</v>
      </c>
      <c r="O7" s="231">
        <f t="shared" si="0"/>
        <v>882.6202123852469</v>
      </c>
    </row>
    <row r="8" spans="1:15" ht="30">
      <c r="A8" s="206"/>
      <c r="B8" s="177" t="s">
        <v>553</v>
      </c>
      <c r="C8" s="237">
        <v>248.94</v>
      </c>
      <c r="D8" s="234">
        <f aca="true" t="shared" si="1" ref="D8:O8">C8+(C8*10%)</f>
        <v>273.834</v>
      </c>
      <c r="E8" s="234">
        <f t="shared" si="1"/>
        <v>301.2174</v>
      </c>
      <c r="F8" s="234">
        <f t="shared" si="1"/>
        <v>331.33914</v>
      </c>
      <c r="G8" s="234">
        <f t="shared" si="1"/>
        <v>364.473054</v>
      </c>
      <c r="H8" s="234">
        <f t="shared" si="1"/>
        <v>400.9203594</v>
      </c>
      <c r="I8" s="234">
        <f t="shared" si="1"/>
        <v>441.01239534</v>
      </c>
      <c r="J8" s="234">
        <f t="shared" si="1"/>
        <v>485.113634874</v>
      </c>
      <c r="K8" s="234">
        <f t="shared" si="1"/>
        <v>533.6249983614</v>
      </c>
      <c r="L8" s="234">
        <f t="shared" si="1"/>
        <v>586.98749819754</v>
      </c>
      <c r="M8" s="234">
        <f t="shared" si="1"/>
        <v>645.686248017294</v>
      </c>
      <c r="N8" s="234">
        <f t="shared" si="1"/>
        <v>710.2548728190234</v>
      </c>
      <c r="O8" s="233">
        <f t="shared" si="1"/>
        <v>781.2803601009257</v>
      </c>
    </row>
    <row r="9" spans="1:15" ht="15">
      <c r="A9" s="206"/>
      <c r="B9" s="178" t="s">
        <v>552</v>
      </c>
      <c r="C9" s="237">
        <v>12.19</v>
      </c>
      <c r="D9" s="234">
        <f aca="true" t="shared" si="2" ref="D9:O9">C9+(C9*10%)</f>
        <v>13.408999999999999</v>
      </c>
      <c r="E9" s="234">
        <f t="shared" si="2"/>
        <v>14.749899999999998</v>
      </c>
      <c r="F9" s="234">
        <f t="shared" si="2"/>
        <v>16.22489</v>
      </c>
      <c r="G9" s="234">
        <f t="shared" si="2"/>
        <v>17.847378999999997</v>
      </c>
      <c r="H9" s="234">
        <f t="shared" si="2"/>
        <v>19.632116899999996</v>
      </c>
      <c r="I9" s="234">
        <f t="shared" si="2"/>
        <v>21.595328589999994</v>
      </c>
      <c r="J9" s="234">
        <f t="shared" si="2"/>
        <v>23.754861448999993</v>
      </c>
      <c r="K9" s="234">
        <f t="shared" si="2"/>
        <v>26.13034759389999</v>
      </c>
      <c r="L9" s="234">
        <f t="shared" si="2"/>
        <v>28.74338235328999</v>
      </c>
      <c r="M9" s="234">
        <f t="shared" si="2"/>
        <v>31.61772058861899</v>
      </c>
      <c r="N9" s="234">
        <f t="shared" si="2"/>
        <v>34.77949264748089</v>
      </c>
      <c r="O9" s="233">
        <f t="shared" si="2"/>
        <v>38.257441912228984</v>
      </c>
    </row>
    <row r="10" spans="1:15" ht="15">
      <c r="A10" s="206"/>
      <c r="B10" s="178" t="s">
        <v>661</v>
      </c>
      <c r="C10" s="237">
        <v>2.26</v>
      </c>
      <c r="D10" s="234">
        <f aca="true" t="shared" si="3" ref="D10:O10">C10+(C10*10%)</f>
        <v>2.4859999999999998</v>
      </c>
      <c r="E10" s="234">
        <f t="shared" si="3"/>
        <v>2.7346</v>
      </c>
      <c r="F10" s="234">
        <f t="shared" si="3"/>
        <v>3.00806</v>
      </c>
      <c r="G10" s="234">
        <f t="shared" si="3"/>
        <v>3.308866</v>
      </c>
      <c r="H10" s="234">
        <f t="shared" si="3"/>
        <v>3.6397526</v>
      </c>
      <c r="I10" s="234">
        <f t="shared" si="3"/>
        <v>4.00372786</v>
      </c>
      <c r="J10" s="234">
        <f t="shared" si="3"/>
        <v>4.404100646</v>
      </c>
      <c r="K10" s="234">
        <f t="shared" si="3"/>
        <v>4.8445107106</v>
      </c>
      <c r="L10" s="234">
        <f t="shared" si="3"/>
        <v>5.3289617816599995</v>
      </c>
      <c r="M10" s="234">
        <f t="shared" si="3"/>
        <v>5.861857959826</v>
      </c>
      <c r="N10" s="234">
        <f t="shared" si="3"/>
        <v>6.4480437558086</v>
      </c>
      <c r="O10" s="233">
        <f t="shared" si="3"/>
        <v>7.09284813138946</v>
      </c>
    </row>
    <row r="11" spans="1:15" ht="15">
      <c r="A11" s="206"/>
      <c r="B11" s="178" t="s">
        <v>660</v>
      </c>
      <c r="C11" s="237">
        <v>3.64</v>
      </c>
      <c r="D11" s="234">
        <f aca="true" t="shared" si="4" ref="D11:O11">C11+(C11*10%)</f>
        <v>4.0040000000000004</v>
      </c>
      <c r="E11" s="234">
        <f t="shared" si="4"/>
        <v>4.404400000000001</v>
      </c>
      <c r="F11" s="234">
        <f t="shared" si="4"/>
        <v>4.8448400000000005</v>
      </c>
      <c r="G11" s="234">
        <f t="shared" si="4"/>
        <v>5.329324000000001</v>
      </c>
      <c r="H11" s="234">
        <f t="shared" si="4"/>
        <v>5.862256400000001</v>
      </c>
      <c r="I11" s="234">
        <f t="shared" si="4"/>
        <v>6.448482040000001</v>
      </c>
      <c r="J11" s="234">
        <f t="shared" si="4"/>
        <v>7.093330244000001</v>
      </c>
      <c r="K11" s="234">
        <f t="shared" si="4"/>
        <v>7.802663268400001</v>
      </c>
      <c r="L11" s="234">
        <f t="shared" si="4"/>
        <v>8.582929595240001</v>
      </c>
      <c r="M11" s="234">
        <f t="shared" si="4"/>
        <v>9.441222554764002</v>
      </c>
      <c r="N11" s="234">
        <f t="shared" si="4"/>
        <v>10.385344810240401</v>
      </c>
      <c r="O11" s="233">
        <f t="shared" si="4"/>
        <v>11.423879291264441</v>
      </c>
    </row>
    <row r="12" spans="1:15" ht="15">
      <c r="A12" s="206"/>
      <c r="B12" s="178" t="s">
        <v>659</v>
      </c>
      <c r="C12" s="237">
        <v>10.97</v>
      </c>
      <c r="D12" s="234">
        <f aca="true" t="shared" si="5" ref="D12:O12">C12+(C12*10%)</f>
        <v>12.067</v>
      </c>
      <c r="E12" s="234">
        <f t="shared" si="5"/>
        <v>13.2737</v>
      </c>
      <c r="F12" s="234">
        <f t="shared" si="5"/>
        <v>14.60107</v>
      </c>
      <c r="G12" s="234">
        <f t="shared" si="5"/>
        <v>16.061177</v>
      </c>
      <c r="H12" s="234">
        <f t="shared" si="5"/>
        <v>17.6672947</v>
      </c>
      <c r="I12" s="234">
        <f t="shared" si="5"/>
        <v>19.43402417</v>
      </c>
      <c r="J12" s="234">
        <f t="shared" si="5"/>
        <v>21.377426587000002</v>
      </c>
      <c r="K12" s="234">
        <f t="shared" si="5"/>
        <v>23.5151692457</v>
      </c>
      <c r="L12" s="234">
        <f t="shared" si="5"/>
        <v>25.86668617027</v>
      </c>
      <c r="M12" s="234">
        <f t="shared" si="5"/>
        <v>28.453354787297002</v>
      </c>
      <c r="N12" s="234">
        <f t="shared" si="5"/>
        <v>31.298690266026703</v>
      </c>
      <c r="O12" s="233">
        <f t="shared" si="5"/>
        <v>34.42855929262937</v>
      </c>
    </row>
    <row r="13" spans="1:15" ht="15">
      <c r="A13" s="200"/>
      <c r="B13" s="177" t="s">
        <v>658</v>
      </c>
      <c r="C13" s="235">
        <v>3.23</v>
      </c>
      <c r="D13" s="234">
        <f aca="true" t="shared" si="6" ref="D13:O13">C13+(C13*10%)</f>
        <v>3.553</v>
      </c>
      <c r="E13" s="234">
        <f t="shared" si="6"/>
        <v>3.9083</v>
      </c>
      <c r="F13" s="234">
        <f t="shared" si="6"/>
        <v>4.29913</v>
      </c>
      <c r="G13" s="234">
        <f t="shared" si="6"/>
        <v>4.729043</v>
      </c>
      <c r="H13" s="234">
        <f t="shared" si="6"/>
        <v>5.2019473</v>
      </c>
      <c r="I13" s="234">
        <f t="shared" si="6"/>
        <v>5.72214203</v>
      </c>
      <c r="J13" s="234">
        <f t="shared" si="6"/>
        <v>6.294356232999999</v>
      </c>
      <c r="K13" s="234">
        <f t="shared" si="6"/>
        <v>6.923791856299999</v>
      </c>
      <c r="L13" s="234">
        <f t="shared" si="6"/>
        <v>7.6161710419299995</v>
      </c>
      <c r="M13" s="234">
        <f t="shared" si="6"/>
        <v>8.377788146122999</v>
      </c>
      <c r="N13" s="234">
        <f t="shared" si="6"/>
        <v>9.215566960735298</v>
      </c>
      <c r="O13" s="233">
        <f t="shared" si="6"/>
        <v>10.137123656808829</v>
      </c>
    </row>
    <row r="14" spans="1:15" ht="30">
      <c r="A14" s="200"/>
      <c r="B14" s="177" t="s">
        <v>657</v>
      </c>
      <c r="C14" s="235"/>
      <c r="D14" s="234">
        <f aca="true" t="shared" si="7" ref="D14:O14">C14+(C14*10%)</f>
        <v>0</v>
      </c>
      <c r="E14" s="234">
        <f t="shared" si="7"/>
        <v>0</v>
      </c>
      <c r="F14" s="234">
        <f t="shared" si="7"/>
        <v>0</v>
      </c>
      <c r="G14" s="234">
        <f t="shared" si="7"/>
        <v>0</v>
      </c>
      <c r="H14" s="234">
        <f t="shared" si="7"/>
        <v>0</v>
      </c>
      <c r="I14" s="234">
        <f t="shared" si="7"/>
        <v>0</v>
      </c>
      <c r="J14" s="234">
        <f t="shared" si="7"/>
        <v>0</v>
      </c>
      <c r="K14" s="234">
        <f t="shared" si="7"/>
        <v>0</v>
      </c>
      <c r="L14" s="234">
        <f t="shared" si="7"/>
        <v>0</v>
      </c>
      <c r="M14" s="234">
        <f t="shared" si="7"/>
        <v>0</v>
      </c>
      <c r="N14" s="234">
        <f t="shared" si="7"/>
        <v>0</v>
      </c>
      <c r="O14" s="233">
        <f t="shared" si="7"/>
        <v>0</v>
      </c>
    </row>
    <row r="15" spans="1:15" ht="15">
      <c r="A15" s="200">
        <v>2</v>
      </c>
      <c r="B15" s="129" t="s">
        <v>549</v>
      </c>
      <c r="C15" s="236">
        <f aca="true" t="shared" si="8" ref="C15:O15">SUM(C16:C31)</f>
        <v>59.48</v>
      </c>
      <c r="D15" s="236">
        <f t="shared" si="8"/>
        <v>65.428</v>
      </c>
      <c r="E15" s="236">
        <f t="shared" si="8"/>
        <v>71.9708</v>
      </c>
      <c r="F15" s="236">
        <f t="shared" si="8"/>
        <v>79.16788</v>
      </c>
      <c r="G15" s="236">
        <f t="shared" si="8"/>
        <v>87.08466800000001</v>
      </c>
      <c r="H15" s="236">
        <f t="shared" si="8"/>
        <v>95.7931348</v>
      </c>
      <c r="I15" s="236">
        <f t="shared" si="8"/>
        <v>105.37244827999999</v>
      </c>
      <c r="J15" s="236">
        <f t="shared" si="8"/>
        <v>115.909693108</v>
      </c>
      <c r="K15" s="236">
        <f t="shared" si="8"/>
        <v>127.5006624188</v>
      </c>
      <c r="L15" s="236">
        <f t="shared" si="8"/>
        <v>140.25072866067998</v>
      </c>
      <c r="M15" s="236">
        <f t="shared" si="8"/>
        <v>154.275801526748</v>
      </c>
      <c r="N15" s="236">
        <f t="shared" si="8"/>
        <v>169.70338167942282</v>
      </c>
      <c r="O15" s="236">
        <f t="shared" si="8"/>
        <v>186.67371984736508</v>
      </c>
    </row>
    <row r="16" spans="1:15" ht="15">
      <c r="A16" s="200"/>
      <c r="B16" s="129" t="s">
        <v>544</v>
      </c>
      <c r="C16" s="235">
        <v>0.17</v>
      </c>
      <c r="D16" s="234">
        <f aca="true" t="shared" si="9" ref="D16:O16">C16+(C16*10%)</f>
        <v>0.187</v>
      </c>
      <c r="E16" s="234">
        <f t="shared" si="9"/>
        <v>0.2057</v>
      </c>
      <c r="F16" s="234">
        <f t="shared" si="9"/>
        <v>0.22627</v>
      </c>
      <c r="G16" s="234">
        <f t="shared" si="9"/>
        <v>0.248897</v>
      </c>
      <c r="H16" s="234">
        <f t="shared" si="9"/>
        <v>0.2737867</v>
      </c>
      <c r="I16" s="234">
        <f t="shared" si="9"/>
        <v>0.30116537</v>
      </c>
      <c r="J16" s="234">
        <f t="shared" si="9"/>
        <v>0.331281907</v>
      </c>
      <c r="K16" s="234">
        <f t="shared" si="9"/>
        <v>0.3644100977</v>
      </c>
      <c r="L16" s="234">
        <f t="shared" si="9"/>
        <v>0.40085110746999997</v>
      </c>
      <c r="M16" s="234">
        <f t="shared" si="9"/>
        <v>0.44093621821699996</v>
      </c>
      <c r="N16" s="234">
        <f t="shared" si="9"/>
        <v>0.4850298400387</v>
      </c>
      <c r="O16" s="233">
        <f t="shared" si="9"/>
        <v>0.53353282404257</v>
      </c>
    </row>
    <row r="17" spans="1:15" ht="32.25" customHeight="1">
      <c r="A17" s="200"/>
      <c r="B17" s="129" t="s">
        <v>576</v>
      </c>
      <c r="C17" s="235">
        <v>0.01</v>
      </c>
      <c r="D17" s="234">
        <f aca="true" t="shared" si="10" ref="D17:O17">C17+(C17*10%)</f>
        <v>0.011</v>
      </c>
      <c r="E17" s="234">
        <f t="shared" si="10"/>
        <v>0.0121</v>
      </c>
      <c r="F17" s="234">
        <f t="shared" si="10"/>
        <v>0.013309999999999999</v>
      </c>
      <c r="G17" s="234">
        <f t="shared" si="10"/>
        <v>0.014641</v>
      </c>
      <c r="H17" s="234">
        <f t="shared" si="10"/>
        <v>0.0161051</v>
      </c>
      <c r="I17" s="234">
        <f t="shared" si="10"/>
        <v>0.01771561</v>
      </c>
      <c r="J17" s="234">
        <f t="shared" si="10"/>
        <v>0.019487171</v>
      </c>
      <c r="K17" s="234">
        <f t="shared" si="10"/>
        <v>0.0214358881</v>
      </c>
      <c r="L17" s="234">
        <f t="shared" si="10"/>
        <v>0.02357947691</v>
      </c>
      <c r="M17" s="234">
        <f t="shared" si="10"/>
        <v>0.025937424601</v>
      </c>
      <c r="N17" s="234">
        <f t="shared" si="10"/>
        <v>0.0285311670611</v>
      </c>
      <c r="O17" s="233">
        <f t="shared" si="10"/>
        <v>0.03138428376721</v>
      </c>
    </row>
    <row r="18" spans="1:15" ht="15">
      <c r="A18" s="200"/>
      <c r="B18" s="129" t="s">
        <v>542</v>
      </c>
      <c r="C18" s="235"/>
      <c r="D18" s="234"/>
      <c r="E18" s="234"/>
      <c r="F18" s="234"/>
      <c r="G18" s="234"/>
      <c r="H18" s="234"/>
      <c r="I18" s="234"/>
      <c r="J18" s="234"/>
      <c r="K18" s="234"/>
      <c r="L18" s="234"/>
      <c r="M18" s="234"/>
      <c r="N18" s="234"/>
      <c r="O18" s="233"/>
    </row>
    <row r="19" spans="1:15" ht="15">
      <c r="A19" s="203"/>
      <c r="B19" s="132" t="s">
        <v>656</v>
      </c>
      <c r="C19" s="235">
        <v>17.66</v>
      </c>
      <c r="D19" s="234">
        <f aca="true" t="shared" si="11" ref="D19:O19">C19+(C19*10%)</f>
        <v>19.426000000000002</v>
      </c>
      <c r="E19" s="234">
        <f t="shared" si="11"/>
        <v>21.3686</v>
      </c>
      <c r="F19" s="234">
        <f t="shared" si="11"/>
        <v>23.50546</v>
      </c>
      <c r="G19" s="234">
        <f t="shared" si="11"/>
        <v>25.856006</v>
      </c>
      <c r="H19" s="234">
        <f t="shared" si="11"/>
        <v>28.4416066</v>
      </c>
      <c r="I19" s="234">
        <f t="shared" si="11"/>
        <v>31.28576726</v>
      </c>
      <c r="J19" s="234">
        <f t="shared" si="11"/>
        <v>34.414343986</v>
      </c>
      <c r="K19" s="234">
        <f t="shared" si="11"/>
        <v>37.8557783846</v>
      </c>
      <c r="L19" s="234">
        <f t="shared" si="11"/>
        <v>41.64135622306</v>
      </c>
      <c r="M19" s="234">
        <f t="shared" si="11"/>
        <v>45.805491845366</v>
      </c>
      <c r="N19" s="234">
        <f t="shared" si="11"/>
        <v>50.3860410299026</v>
      </c>
      <c r="O19" s="233">
        <f t="shared" si="11"/>
        <v>55.42464513289286</v>
      </c>
    </row>
    <row r="20" spans="1:15" ht="15">
      <c r="A20" s="203"/>
      <c r="B20" s="132" t="s">
        <v>655</v>
      </c>
      <c r="C20" s="235"/>
      <c r="D20" s="234"/>
      <c r="E20" s="234"/>
      <c r="F20" s="234"/>
      <c r="G20" s="234"/>
      <c r="H20" s="234"/>
      <c r="I20" s="234"/>
      <c r="J20" s="234"/>
      <c r="K20" s="234"/>
      <c r="L20" s="234"/>
      <c r="M20" s="234"/>
      <c r="N20" s="234"/>
      <c r="O20" s="233"/>
    </row>
    <row r="21" spans="1:15" ht="15">
      <c r="A21" s="203"/>
      <c r="B21" s="132" t="s">
        <v>654</v>
      </c>
      <c r="C21" s="235">
        <v>1.29</v>
      </c>
      <c r="D21" s="234">
        <f aca="true" t="shared" si="12" ref="D21:O21">C21+(C21*10%)</f>
        <v>1.419</v>
      </c>
      <c r="E21" s="234">
        <f t="shared" si="12"/>
        <v>1.5609</v>
      </c>
      <c r="F21" s="234">
        <f t="shared" si="12"/>
        <v>1.71699</v>
      </c>
      <c r="G21" s="234">
        <f t="shared" si="12"/>
        <v>1.888689</v>
      </c>
      <c r="H21" s="234">
        <f t="shared" si="12"/>
        <v>2.0775579</v>
      </c>
      <c r="I21" s="234">
        <f t="shared" si="12"/>
        <v>2.2853136899999997</v>
      </c>
      <c r="J21" s="234">
        <f t="shared" si="12"/>
        <v>2.513845059</v>
      </c>
      <c r="K21" s="234">
        <f t="shared" si="12"/>
        <v>2.7652295649</v>
      </c>
      <c r="L21" s="234">
        <f t="shared" si="12"/>
        <v>3.04175252139</v>
      </c>
      <c r="M21" s="234">
        <f t="shared" si="12"/>
        <v>3.3459277735289996</v>
      </c>
      <c r="N21" s="234">
        <f t="shared" si="12"/>
        <v>3.6805205508818997</v>
      </c>
      <c r="O21" s="233">
        <f t="shared" si="12"/>
        <v>4.048572605970089</v>
      </c>
    </row>
    <row r="22" spans="1:15" ht="15">
      <c r="A22" s="203"/>
      <c r="B22" s="132" t="s">
        <v>653</v>
      </c>
      <c r="C22" s="235">
        <v>2.15</v>
      </c>
      <c r="D22" s="234">
        <f aca="true" t="shared" si="13" ref="D22:O22">C22+(C22*10%)</f>
        <v>2.3649999999999998</v>
      </c>
      <c r="E22" s="234">
        <f t="shared" si="13"/>
        <v>2.6014999999999997</v>
      </c>
      <c r="F22" s="234">
        <f t="shared" si="13"/>
        <v>2.8616499999999996</v>
      </c>
      <c r="G22" s="234">
        <f t="shared" si="13"/>
        <v>3.1478149999999996</v>
      </c>
      <c r="H22" s="234">
        <f t="shared" si="13"/>
        <v>3.4625964999999996</v>
      </c>
      <c r="I22" s="234">
        <f t="shared" si="13"/>
        <v>3.8088561499999996</v>
      </c>
      <c r="J22" s="234">
        <f t="shared" si="13"/>
        <v>4.189741764999999</v>
      </c>
      <c r="K22" s="234">
        <f t="shared" si="13"/>
        <v>4.608715941499999</v>
      </c>
      <c r="L22" s="234">
        <f t="shared" si="13"/>
        <v>5.069587535649999</v>
      </c>
      <c r="M22" s="234">
        <f t="shared" si="13"/>
        <v>5.576546289214999</v>
      </c>
      <c r="N22" s="234">
        <f t="shared" si="13"/>
        <v>6.134200918136499</v>
      </c>
      <c r="O22" s="233">
        <f t="shared" si="13"/>
        <v>6.747621009950149</v>
      </c>
    </row>
    <row r="23" spans="1:15" ht="15">
      <c r="A23" s="203"/>
      <c r="B23" s="132" t="s">
        <v>652</v>
      </c>
      <c r="C23" s="235">
        <v>7.07</v>
      </c>
      <c r="D23" s="234">
        <f aca="true" t="shared" si="14" ref="D23:O23">C23+(C23*10%)</f>
        <v>7.777</v>
      </c>
      <c r="E23" s="234">
        <f t="shared" si="14"/>
        <v>8.5547</v>
      </c>
      <c r="F23" s="234">
        <f t="shared" si="14"/>
        <v>9.41017</v>
      </c>
      <c r="G23" s="234">
        <f t="shared" si="14"/>
        <v>10.351187000000001</v>
      </c>
      <c r="H23" s="234">
        <f t="shared" si="14"/>
        <v>11.386305700000001</v>
      </c>
      <c r="I23" s="234">
        <f t="shared" si="14"/>
        <v>12.524936270000001</v>
      </c>
      <c r="J23" s="234">
        <f t="shared" si="14"/>
        <v>13.777429897000001</v>
      </c>
      <c r="K23" s="234">
        <f t="shared" si="14"/>
        <v>15.1551728867</v>
      </c>
      <c r="L23" s="234">
        <f t="shared" si="14"/>
        <v>16.67069017537</v>
      </c>
      <c r="M23" s="234">
        <f t="shared" si="14"/>
        <v>18.337759192907</v>
      </c>
      <c r="N23" s="234">
        <f t="shared" si="14"/>
        <v>20.171535112197702</v>
      </c>
      <c r="O23" s="233">
        <f t="shared" si="14"/>
        <v>22.188688623417473</v>
      </c>
    </row>
    <row r="24" spans="1:15" ht="15">
      <c r="A24" s="203"/>
      <c r="B24" s="132" t="s">
        <v>651</v>
      </c>
      <c r="C24" s="235">
        <v>1.02</v>
      </c>
      <c r="D24" s="234">
        <f aca="true" t="shared" si="15" ref="D24:O24">C24+(C24*10%)</f>
        <v>1.122</v>
      </c>
      <c r="E24" s="234">
        <f t="shared" si="15"/>
        <v>1.2342000000000002</v>
      </c>
      <c r="F24" s="234">
        <f t="shared" si="15"/>
        <v>1.3576200000000003</v>
      </c>
      <c r="G24" s="234">
        <f t="shared" si="15"/>
        <v>1.4933820000000002</v>
      </c>
      <c r="H24" s="234">
        <f t="shared" si="15"/>
        <v>1.6427202000000003</v>
      </c>
      <c r="I24" s="234">
        <f t="shared" si="15"/>
        <v>1.8069922200000004</v>
      </c>
      <c r="J24" s="234">
        <f t="shared" si="15"/>
        <v>1.9876914420000005</v>
      </c>
      <c r="K24" s="234">
        <f t="shared" si="15"/>
        <v>2.1864605862000004</v>
      </c>
      <c r="L24" s="234">
        <f t="shared" si="15"/>
        <v>2.4051066448200005</v>
      </c>
      <c r="M24" s="234">
        <f t="shared" si="15"/>
        <v>2.6456173093020006</v>
      </c>
      <c r="N24" s="234">
        <f t="shared" si="15"/>
        <v>2.9101790402322005</v>
      </c>
      <c r="O24" s="233">
        <f t="shared" si="15"/>
        <v>3.2011969442554205</v>
      </c>
    </row>
    <row r="25" spans="1:15" ht="15">
      <c r="A25" s="203"/>
      <c r="B25" s="132" t="s">
        <v>650</v>
      </c>
      <c r="C25" s="235"/>
      <c r="D25" s="234"/>
      <c r="E25" s="234"/>
      <c r="F25" s="234"/>
      <c r="G25" s="234"/>
      <c r="H25" s="234"/>
      <c r="I25" s="234"/>
      <c r="J25" s="234"/>
      <c r="K25" s="234"/>
      <c r="L25" s="234"/>
      <c r="M25" s="234"/>
      <c r="N25" s="234"/>
      <c r="O25" s="233"/>
    </row>
    <row r="26" spans="1:15" ht="21" customHeight="1">
      <c r="A26" s="203"/>
      <c r="B26" s="132" t="s">
        <v>649</v>
      </c>
      <c r="C26" s="235"/>
      <c r="D26" s="234"/>
      <c r="E26" s="234"/>
      <c r="F26" s="234"/>
      <c r="G26" s="234"/>
      <c r="H26" s="234"/>
      <c r="I26" s="234"/>
      <c r="J26" s="234"/>
      <c r="K26" s="234"/>
      <c r="L26" s="234"/>
      <c r="M26" s="234"/>
      <c r="N26" s="234"/>
      <c r="O26" s="233"/>
    </row>
    <row r="27" spans="1:15" ht="15">
      <c r="A27" s="203"/>
      <c r="B27" s="132" t="s">
        <v>648</v>
      </c>
      <c r="C27" s="235"/>
      <c r="D27" s="234"/>
      <c r="E27" s="234"/>
      <c r="F27" s="234"/>
      <c r="G27" s="234"/>
      <c r="H27" s="234"/>
      <c r="I27" s="234"/>
      <c r="J27" s="234"/>
      <c r="K27" s="234"/>
      <c r="L27" s="234"/>
      <c r="M27" s="234"/>
      <c r="N27" s="234"/>
      <c r="O27" s="233"/>
    </row>
    <row r="28" spans="1:15" ht="15">
      <c r="A28" s="203"/>
      <c r="B28" s="132" t="s">
        <v>647</v>
      </c>
      <c r="C28" s="235"/>
      <c r="D28" s="234"/>
      <c r="E28" s="234"/>
      <c r="F28" s="234"/>
      <c r="G28" s="234"/>
      <c r="H28" s="234"/>
      <c r="I28" s="234"/>
      <c r="J28" s="234"/>
      <c r="K28" s="234"/>
      <c r="L28" s="234"/>
      <c r="M28" s="234"/>
      <c r="N28" s="234"/>
      <c r="O28" s="233"/>
    </row>
    <row r="29" spans="1:15" ht="15">
      <c r="A29" s="203"/>
      <c r="B29" s="132" t="s">
        <v>646</v>
      </c>
      <c r="C29" s="235">
        <v>1.54</v>
      </c>
      <c r="D29" s="234">
        <f aca="true" t="shared" si="16" ref="D29:O29">C29+(C29*10%)</f>
        <v>1.694</v>
      </c>
      <c r="E29" s="234">
        <f t="shared" si="16"/>
        <v>1.8634</v>
      </c>
      <c r="F29" s="234">
        <f t="shared" si="16"/>
        <v>2.04974</v>
      </c>
      <c r="G29" s="234">
        <f t="shared" si="16"/>
        <v>2.254714</v>
      </c>
      <c r="H29" s="234">
        <f t="shared" si="16"/>
        <v>2.4801854</v>
      </c>
      <c r="I29" s="234">
        <f t="shared" si="16"/>
        <v>2.7282039399999998</v>
      </c>
      <c r="J29" s="234">
        <f t="shared" si="16"/>
        <v>3.001024334</v>
      </c>
      <c r="K29" s="234">
        <f t="shared" si="16"/>
        <v>3.3011267673999996</v>
      </c>
      <c r="L29" s="234">
        <f t="shared" si="16"/>
        <v>3.6312394441399993</v>
      </c>
      <c r="M29" s="234">
        <f t="shared" si="16"/>
        <v>3.9943633885539995</v>
      </c>
      <c r="N29" s="234">
        <f t="shared" si="16"/>
        <v>4.3937997274094</v>
      </c>
      <c r="O29" s="233">
        <f t="shared" si="16"/>
        <v>4.83317970015034</v>
      </c>
    </row>
    <row r="30" spans="1:15" ht="15">
      <c r="A30" s="203"/>
      <c r="B30" s="132" t="s">
        <v>645</v>
      </c>
      <c r="C30" s="235">
        <v>12.9</v>
      </c>
      <c r="D30" s="234">
        <f aca="true" t="shared" si="17" ref="D30:O30">C30+(C30*10%)</f>
        <v>14.190000000000001</v>
      </c>
      <c r="E30" s="234">
        <f t="shared" si="17"/>
        <v>15.609000000000002</v>
      </c>
      <c r="F30" s="234">
        <f t="shared" si="17"/>
        <v>17.169900000000002</v>
      </c>
      <c r="G30" s="234">
        <f t="shared" si="17"/>
        <v>18.88689</v>
      </c>
      <c r="H30" s="234">
        <f t="shared" si="17"/>
        <v>20.775579</v>
      </c>
      <c r="I30" s="234">
        <f t="shared" si="17"/>
        <v>22.8531369</v>
      </c>
      <c r="J30" s="234">
        <f t="shared" si="17"/>
        <v>25.138450589999998</v>
      </c>
      <c r="K30" s="234">
        <f t="shared" si="17"/>
        <v>27.652295649</v>
      </c>
      <c r="L30" s="234">
        <f t="shared" si="17"/>
        <v>30.4175252139</v>
      </c>
      <c r="M30" s="234">
        <f t="shared" si="17"/>
        <v>33.45927773529</v>
      </c>
      <c r="N30" s="234">
        <f t="shared" si="17"/>
        <v>36.805205508819</v>
      </c>
      <c r="O30" s="233">
        <f t="shared" si="17"/>
        <v>40.4857260597009</v>
      </c>
    </row>
    <row r="31" spans="1:15" ht="15">
      <c r="A31" s="203"/>
      <c r="B31" s="132" t="s">
        <v>644</v>
      </c>
      <c r="C31" s="235">
        <v>15.67</v>
      </c>
      <c r="D31" s="234">
        <f aca="true" t="shared" si="18" ref="D31:O31">C31+(C31*10%)</f>
        <v>17.237000000000002</v>
      </c>
      <c r="E31" s="234">
        <f t="shared" si="18"/>
        <v>18.960700000000003</v>
      </c>
      <c r="F31" s="234">
        <f t="shared" si="18"/>
        <v>20.856770000000004</v>
      </c>
      <c r="G31" s="234">
        <f t="shared" si="18"/>
        <v>22.942447000000005</v>
      </c>
      <c r="H31" s="234">
        <f t="shared" si="18"/>
        <v>25.236691700000005</v>
      </c>
      <c r="I31" s="234">
        <f t="shared" si="18"/>
        <v>27.760360870000007</v>
      </c>
      <c r="J31" s="234">
        <f t="shared" si="18"/>
        <v>30.536396957000008</v>
      </c>
      <c r="K31" s="234">
        <f t="shared" si="18"/>
        <v>33.59003665270001</v>
      </c>
      <c r="L31" s="234">
        <f t="shared" si="18"/>
        <v>36.94904031797001</v>
      </c>
      <c r="M31" s="234">
        <f t="shared" si="18"/>
        <v>40.64394434976701</v>
      </c>
      <c r="N31" s="234">
        <f t="shared" si="18"/>
        <v>44.70833878474371</v>
      </c>
      <c r="O31" s="233">
        <f t="shared" si="18"/>
        <v>49.17917266321808</v>
      </c>
    </row>
    <row r="32" spans="1:15" ht="15">
      <c r="A32" s="203"/>
      <c r="B32" s="132"/>
      <c r="C32" s="235"/>
      <c r="D32" s="234"/>
      <c r="E32" s="234"/>
      <c r="F32" s="234"/>
      <c r="G32" s="234"/>
      <c r="H32" s="234"/>
      <c r="I32" s="234"/>
      <c r="J32" s="234"/>
      <c r="K32" s="234"/>
      <c r="L32" s="234"/>
      <c r="M32" s="234"/>
      <c r="N32" s="234"/>
      <c r="O32" s="233"/>
    </row>
    <row r="33" spans="1:15" ht="15">
      <c r="A33" s="195">
        <v>3</v>
      </c>
      <c r="B33" s="175" t="s">
        <v>545</v>
      </c>
      <c r="C33" s="236">
        <f aca="true" t="shared" si="19" ref="C33:O33">SUM(C34:C55)</f>
        <v>68.14</v>
      </c>
      <c r="D33" s="236">
        <f t="shared" si="19"/>
        <v>74.954</v>
      </c>
      <c r="E33" s="236">
        <f t="shared" si="19"/>
        <v>82.4494</v>
      </c>
      <c r="F33" s="236">
        <f t="shared" si="19"/>
        <v>90.69434</v>
      </c>
      <c r="G33" s="236">
        <f t="shared" si="19"/>
        <v>99.763774</v>
      </c>
      <c r="H33" s="236">
        <f t="shared" si="19"/>
        <v>109.7401514</v>
      </c>
      <c r="I33" s="236">
        <f t="shared" si="19"/>
        <v>120.71416654</v>
      </c>
      <c r="J33" s="236">
        <f t="shared" si="19"/>
        <v>132.78558319400003</v>
      </c>
      <c r="K33" s="236">
        <f t="shared" si="19"/>
        <v>146.0641415134</v>
      </c>
      <c r="L33" s="236">
        <f t="shared" si="19"/>
        <v>160.67055566474</v>
      </c>
      <c r="M33" s="236">
        <f t="shared" si="19"/>
        <v>176.737611231214</v>
      </c>
      <c r="N33" s="236">
        <f t="shared" si="19"/>
        <v>194.4113723543354</v>
      </c>
      <c r="O33" s="236">
        <f t="shared" si="19"/>
        <v>213.85250958976894</v>
      </c>
    </row>
    <row r="34" spans="1:15" ht="15">
      <c r="A34" s="195"/>
      <c r="B34" s="129" t="s">
        <v>544</v>
      </c>
      <c r="C34" s="235">
        <v>1.62</v>
      </c>
      <c r="D34" s="234">
        <f aca="true" t="shared" si="20" ref="D34:O34">C34+(C34*10%)</f>
        <v>1.782</v>
      </c>
      <c r="E34" s="234">
        <f t="shared" si="20"/>
        <v>1.9602</v>
      </c>
      <c r="F34" s="234">
        <f t="shared" si="20"/>
        <v>2.15622</v>
      </c>
      <c r="G34" s="234">
        <f t="shared" si="20"/>
        <v>2.371842</v>
      </c>
      <c r="H34" s="234">
        <f t="shared" si="20"/>
        <v>2.6090262</v>
      </c>
      <c r="I34" s="234">
        <f t="shared" si="20"/>
        <v>2.86992882</v>
      </c>
      <c r="J34" s="234">
        <f t="shared" si="20"/>
        <v>3.156921702</v>
      </c>
      <c r="K34" s="234">
        <f t="shared" si="20"/>
        <v>3.4726138722</v>
      </c>
      <c r="L34" s="234">
        <f t="shared" si="20"/>
        <v>3.8198752594200003</v>
      </c>
      <c r="M34" s="234">
        <f t="shared" si="20"/>
        <v>4.2018627853620005</v>
      </c>
      <c r="N34" s="234">
        <f t="shared" si="20"/>
        <v>4.622049063898201</v>
      </c>
      <c r="O34" s="233">
        <f t="shared" si="20"/>
        <v>5.084253970288021</v>
      </c>
    </row>
    <row r="35" spans="1:15" ht="15">
      <c r="A35" s="195"/>
      <c r="B35" s="129" t="s">
        <v>576</v>
      </c>
      <c r="C35" s="235">
        <v>29.59</v>
      </c>
      <c r="D35" s="234">
        <f aca="true" t="shared" si="21" ref="D35:O35">C35+(C35*10%)</f>
        <v>32.549</v>
      </c>
      <c r="E35" s="234">
        <f t="shared" si="21"/>
        <v>35.8039</v>
      </c>
      <c r="F35" s="234">
        <f t="shared" si="21"/>
        <v>39.38429</v>
      </c>
      <c r="G35" s="234">
        <f t="shared" si="21"/>
        <v>43.322719</v>
      </c>
      <c r="H35" s="234">
        <f t="shared" si="21"/>
        <v>47.6549909</v>
      </c>
      <c r="I35" s="234">
        <f t="shared" si="21"/>
        <v>52.42048999</v>
      </c>
      <c r="J35" s="234">
        <f t="shared" si="21"/>
        <v>57.662538989</v>
      </c>
      <c r="K35" s="234">
        <f t="shared" si="21"/>
        <v>63.4287928879</v>
      </c>
      <c r="L35" s="234">
        <f t="shared" si="21"/>
        <v>69.77167217669</v>
      </c>
      <c r="M35" s="234">
        <f t="shared" si="21"/>
        <v>76.74883939435901</v>
      </c>
      <c r="N35" s="234">
        <f t="shared" si="21"/>
        <v>84.42372333379491</v>
      </c>
      <c r="O35" s="233">
        <f t="shared" si="21"/>
        <v>92.8660956671744</v>
      </c>
    </row>
    <row r="36" spans="1:15" ht="15">
      <c r="A36" s="195"/>
      <c r="B36" s="129" t="s">
        <v>542</v>
      </c>
      <c r="C36" s="235"/>
      <c r="D36" s="234">
        <f aca="true" t="shared" si="22" ref="D36:O36">C36+(C36*10%)</f>
        <v>0</v>
      </c>
      <c r="E36" s="234">
        <f t="shared" si="22"/>
        <v>0</v>
      </c>
      <c r="F36" s="234">
        <f t="shared" si="22"/>
        <v>0</v>
      </c>
      <c r="G36" s="234">
        <f t="shared" si="22"/>
        <v>0</v>
      </c>
      <c r="H36" s="234">
        <f t="shared" si="22"/>
        <v>0</v>
      </c>
      <c r="I36" s="234">
        <f t="shared" si="22"/>
        <v>0</v>
      </c>
      <c r="J36" s="234">
        <f t="shared" si="22"/>
        <v>0</v>
      </c>
      <c r="K36" s="234">
        <f t="shared" si="22"/>
        <v>0</v>
      </c>
      <c r="L36" s="234">
        <f t="shared" si="22"/>
        <v>0</v>
      </c>
      <c r="M36" s="234">
        <f t="shared" si="22"/>
        <v>0</v>
      </c>
      <c r="N36" s="234">
        <f t="shared" si="22"/>
        <v>0</v>
      </c>
      <c r="O36" s="233">
        <f t="shared" si="22"/>
        <v>0</v>
      </c>
    </row>
    <row r="37" spans="1:15" ht="15">
      <c r="A37" s="195"/>
      <c r="B37" s="132" t="s">
        <v>643</v>
      </c>
      <c r="C37" s="235">
        <v>1.11</v>
      </c>
      <c r="D37" s="234">
        <f aca="true" t="shared" si="23" ref="D37:O37">C37+(C37*10%)</f>
        <v>1.221</v>
      </c>
      <c r="E37" s="234">
        <f t="shared" si="23"/>
        <v>1.3431000000000002</v>
      </c>
      <c r="F37" s="234">
        <f t="shared" si="23"/>
        <v>1.4774100000000001</v>
      </c>
      <c r="G37" s="234">
        <f t="shared" si="23"/>
        <v>1.6251510000000002</v>
      </c>
      <c r="H37" s="234">
        <f t="shared" si="23"/>
        <v>1.7876661000000003</v>
      </c>
      <c r="I37" s="234">
        <f t="shared" si="23"/>
        <v>1.9664327100000003</v>
      </c>
      <c r="J37" s="234">
        <f t="shared" si="23"/>
        <v>2.1630759810000004</v>
      </c>
      <c r="K37" s="234">
        <f t="shared" si="23"/>
        <v>2.3793835791000006</v>
      </c>
      <c r="L37" s="234">
        <f t="shared" si="23"/>
        <v>2.6173219370100007</v>
      </c>
      <c r="M37" s="234">
        <f t="shared" si="23"/>
        <v>2.8790541307110007</v>
      </c>
      <c r="N37" s="234">
        <f t="shared" si="23"/>
        <v>3.1669595437821005</v>
      </c>
      <c r="O37" s="233">
        <f t="shared" si="23"/>
        <v>3.4836554981603105</v>
      </c>
    </row>
    <row r="38" spans="1:15" ht="15">
      <c r="A38" s="195"/>
      <c r="B38" s="132" t="s">
        <v>642</v>
      </c>
      <c r="C38" s="235"/>
      <c r="D38" s="234">
        <f aca="true" t="shared" si="24" ref="D38:O38">C38+(C38*10%)</f>
        <v>0</v>
      </c>
      <c r="E38" s="234">
        <f t="shared" si="24"/>
        <v>0</v>
      </c>
      <c r="F38" s="234">
        <f t="shared" si="24"/>
        <v>0</v>
      </c>
      <c r="G38" s="234">
        <f t="shared" si="24"/>
        <v>0</v>
      </c>
      <c r="H38" s="234">
        <f t="shared" si="24"/>
        <v>0</v>
      </c>
      <c r="I38" s="234">
        <f t="shared" si="24"/>
        <v>0</v>
      </c>
      <c r="J38" s="234">
        <f t="shared" si="24"/>
        <v>0</v>
      </c>
      <c r="K38" s="234">
        <f t="shared" si="24"/>
        <v>0</v>
      </c>
      <c r="L38" s="234">
        <f t="shared" si="24"/>
        <v>0</v>
      </c>
      <c r="M38" s="234">
        <f t="shared" si="24"/>
        <v>0</v>
      </c>
      <c r="N38" s="234">
        <f t="shared" si="24"/>
        <v>0</v>
      </c>
      <c r="O38" s="233">
        <f t="shared" si="24"/>
        <v>0</v>
      </c>
    </row>
    <row r="39" spans="1:15" ht="15">
      <c r="A39" s="195"/>
      <c r="B39" s="132" t="s">
        <v>641</v>
      </c>
      <c r="C39" s="235">
        <v>2.78</v>
      </c>
      <c r="D39" s="234">
        <f aca="true" t="shared" si="25" ref="D39:O39">C39+(C39*10%)</f>
        <v>3.058</v>
      </c>
      <c r="E39" s="234">
        <f t="shared" si="25"/>
        <v>3.3638</v>
      </c>
      <c r="F39" s="234">
        <f t="shared" si="25"/>
        <v>3.70018</v>
      </c>
      <c r="G39" s="234">
        <f t="shared" si="25"/>
        <v>4.070198</v>
      </c>
      <c r="H39" s="234">
        <f t="shared" si="25"/>
        <v>4.4772178</v>
      </c>
      <c r="I39" s="234">
        <f t="shared" si="25"/>
        <v>4.92493958</v>
      </c>
      <c r="J39" s="234">
        <f t="shared" si="25"/>
        <v>5.417433538</v>
      </c>
      <c r="K39" s="234">
        <f t="shared" si="25"/>
        <v>5.9591768918</v>
      </c>
      <c r="L39" s="234">
        <f t="shared" si="25"/>
        <v>6.5550945809800005</v>
      </c>
      <c r="M39" s="234">
        <f t="shared" si="25"/>
        <v>7.210604039078</v>
      </c>
      <c r="N39" s="234">
        <f t="shared" si="25"/>
        <v>7.9316644429858005</v>
      </c>
      <c r="O39" s="233">
        <f t="shared" si="25"/>
        <v>8.72483088728438</v>
      </c>
    </row>
    <row r="40" spans="1:15" ht="15">
      <c r="A40" s="195"/>
      <c r="B40" s="132" t="s">
        <v>640</v>
      </c>
      <c r="C40" s="235">
        <v>4.67</v>
      </c>
      <c r="D40" s="234">
        <f aca="true" t="shared" si="26" ref="D40:O40">C40+(C40*10%)</f>
        <v>5.137</v>
      </c>
      <c r="E40" s="234">
        <f t="shared" si="26"/>
        <v>5.6507</v>
      </c>
      <c r="F40" s="234">
        <f t="shared" si="26"/>
        <v>6.215769999999999</v>
      </c>
      <c r="G40" s="234">
        <f t="shared" si="26"/>
        <v>6.837346999999999</v>
      </c>
      <c r="H40" s="234">
        <f t="shared" si="26"/>
        <v>7.5210817</v>
      </c>
      <c r="I40" s="234">
        <f t="shared" si="26"/>
        <v>8.27318987</v>
      </c>
      <c r="J40" s="234">
        <f t="shared" si="26"/>
        <v>9.100508857</v>
      </c>
      <c r="K40" s="234">
        <f t="shared" si="26"/>
        <v>10.0105597427</v>
      </c>
      <c r="L40" s="234">
        <f t="shared" si="26"/>
        <v>11.01161571697</v>
      </c>
      <c r="M40" s="234">
        <f t="shared" si="26"/>
        <v>12.112777288667</v>
      </c>
      <c r="N40" s="234">
        <f t="shared" si="26"/>
        <v>13.324055017533702</v>
      </c>
      <c r="O40" s="233">
        <f t="shared" si="26"/>
        <v>14.656460519287073</v>
      </c>
    </row>
    <row r="41" spans="1:15" ht="15">
      <c r="A41" s="195"/>
      <c r="B41" s="132" t="s">
        <v>639</v>
      </c>
      <c r="C41" s="235"/>
      <c r="D41" s="234">
        <f aca="true" t="shared" si="27" ref="D41:O41">C41+(C41*10%)</f>
        <v>0</v>
      </c>
      <c r="E41" s="234">
        <f t="shared" si="27"/>
        <v>0</v>
      </c>
      <c r="F41" s="234">
        <f t="shared" si="27"/>
        <v>0</v>
      </c>
      <c r="G41" s="234">
        <f t="shared" si="27"/>
        <v>0</v>
      </c>
      <c r="H41" s="234">
        <f t="shared" si="27"/>
        <v>0</v>
      </c>
      <c r="I41" s="234">
        <f t="shared" si="27"/>
        <v>0</v>
      </c>
      <c r="J41" s="234">
        <f t="shared" si="27"/>
        <v>0</v>
      </c>
      <c r="K41" s="234">
        <f t="shared" si="27"/>
        <v>0</v>
      </c>
      <c r="L41" s="234">
        <f t="shared" si="27"/>
        <v>0</v>
      </c>
      <c r="M41" s="234">
        <f t="shared" si="27"/>
        <v>0</v>
      </c>
      <c r="N41" s="234">
        <f t="shared" si="27"/>
        <v>0</v>
      </c>
      <c r="O41" s="233">
        <f t="shared" si="27"/>
        <v>0</v>
      </c>
    </row>
    <row r="42" spans="1:15" ht="15">
      <c r="A42" s="195"/>
      <c r="B42" s="132" t="s">
        <v>638</v>
      </c>
      <c r="C42" s="235"/>
      <c r="D42" s="234">
        <f aca="true" t="shared" si="28" ref="D42:O42">C42+(C42*10%)</f>
        <v>0</v>
      </c>
      <c r="E42" s="234">
        <f t="shared" si="28"/>
        <v>0</v>
      </c>
      <c r="F42" s="234">
        <f t="shared" si="28"/>
        <v>0</v>
      </c>
      <c r="G42" s="234">
        <f t="shared" si="28"/>
        <v>0</v>
      </c>
      <c r="H42" s="234">
        <f t="shared" si="28"/>
        <v>0</v>
      </c>
      <c r="I42" s="234">
        <f t="shared" si="28"/>
        <v>0</v>
      </c>
      <c r="J42" s="234">
        <f t="shared" si="28"/>
        <v>0</v>
      </c>
      <c r="K42" s="234">
        <f t="shared" si="28"/>
        <v>0</v>
      </c>
      <c r="L42" s="234">
        <f t="shared" si="28"/>
        <v>0</v>
      </c>
      <c r="M42" s="234">
        <f t="shared" si="28"/>
        <v>0</v>
      </c>
      <c r="N42" s="234">
        <f t="shared" si="28"/>
        <v>0</v>
      </c>
      <c r="O42" s="233">
        <f t="shared" si="28"/>
        <v>0</v>
      </c>
    </row>
    <row r="43" spans="1:15" ht="30">
      <c r="A43" s="195"/>
      <c r="B43" s="132" t="s">
        <v>637</v>
      </c>
      <c r="C43" s="235">
        <v>0.45</v>
      </c>
      <c r="D43" s="234">
        <f aca="true" t="shared" si="29" ref="D43:O43">C43+(C43*10%)</f>
        <v>0.495</v>
      </c>
      <c r="E43" s="234">
        <f t="shared" si="29"/>
        <v>0.5445</v>
      </c>
      <c r="F43" s="234">
        <f t="shared" si="29"/>
        <v>0.59895</v>
      </c>
      <c r="G43" s="234">
        <f t="shared" si="29"/>
        <v>0.658845</v>
      </c>
      <c r="H43" s="234">
        <f t="shared" si="29"/>
        <v>0.7247295</v>
      </c>
      <c r="I43" s="234">
        <f t="shared" si="29"/>
        <v>0.79720245</v>
      </c>
      <c r="J43" s="234">
        <f t="shared" si="29"/>
        <v>0.876922695</v>
      </c>
      <c r="K43" s="234">
        <f t="shared" si="29"/>
        <v>0.9646149645</v>
      </c>
      <c r="L43" s="234">
        <f t="shared" si="29"/>
        <v>1.0610764609499999</v>
      </c>
      <c r="M43" s="234">
        <f t="shared" si="29"/>
        <v>1.1671841070449998</v>
      </c>
      <c r="N43" s="234">
        <f t="shared" si="29"/>
        <v>1.2839025177494998</v>
      </c>
      <c r="O43" s="233">
        <f t="shared" si="29"/>
        <v>1.4122927695244498</v>
      </c>
    </row>
    <row r="44" spans="1:15" ht="15">
      <c r="A44" s="195"/>
      <c r="B44" s="132" t="s">
        <v>636</v>
      </c>
      <c r="C44" s="235"/>
      <c r="D44" s="234">
        <f aca="true" t="shared" si="30" ref="D44:O44">C44+(C44*10%)</f>
        <v>0</v>
      </c>
      <c r="E44" s="234">
        <f t="shared" si="30"/>
        <v>0</v>
      </c>
      <c r="F44" s="234">
        <f t="shared" si="30"/>
        <v>0</v>
      </c>
      <c r="G44" s="234">
        <f t="shared" si="30"/>
        <v>0</v>
      </c>
      <c r="H44" s="234">
        <f t="shared" si="30"/>
        <v>0</v>
      </c>
      <c r="I44" s="234">
        <f t="shared" si="30"/>
        <v>0</v>
      </c>
      <c r="J44" s="234">
        <f t="shared" si="30"/>
        <v>0</v>
      </c>
      <c r="K44" s="234">
        <f t="shared" si="30"/>
        <v>0</v>
      </c>
      <c r="L44" s="234">
        <f t="shared" si="30"/>
        <v>0</v>
      </c>
      <c r="M44" s="234">
        <f t="shared" si="30"/>
        <v>0</v>
      </c>
      <c r="N44" s="234">
        <f t="shared" si="30"/>
        <v>0</v>
      </c>
      <c r="O44" s="233">
        <f t="shared" si="30"/>
        <v>0</v>
      </c>
    </row>
    <row r="45" spans="1:15" ht="30">
      <c r="A45" s="195"/>
      <c r="B45" s="132" t="s">
        <v>635</v>
      </c>
      <c r="C45" s="235">
        <v>1.93</v>
      </c>
      <c r="D45" s="234">
        <f aca="true" t="shared" si="31" ref="D45:O45">C45+(C45*10%)</f>
        <v>2.1229999999999998</v>
      </c>
      <c r="E45" s="234">
        <f t="shared" si="31"/>
        <v>2.3352999999999997</v>
      </c>
      <c r="F45" s="234">
        <f t="shared" si="31"/>
        <v>2.5688299999999997</v>
      </c>
      <c r="G45" s="234">
        <f t="shared" si="31"/>
        <v>2.8257129999999995</v>
      </c>
      <c r="H45" s="234">
        <f t="shared" si="31"/>
        <v>3.1082842999999993</v>
      </c>
      <c r="I45" s="234">
        <f t="shared" si="31"/>
        <v>3.4191127299999993</v>
      </c>
      <c r="J45" s="234">
        <f t="shared" si="31"/>
        <v>3.7610240029999993</v>
      </c>
      <c r="K45" s="234">
        <f t="shared" si="31"/>
        <v>4.137126403299999</v>
      </c>
      <c r="L45" s="234">
        <f t="shared" si="31"/>
        <v>4.550839043629999</v>
      </c>
      <c r="M45" s="234">
        <f t="shared" si="31"/>
        <v>5.005922947992999</v>
      </c>
      <c r="N45" s="234">
        <f t="shared" si="31"/>
        <v>5.5065152427922985</v>
      </c>
      <c r="O45" s="233">
        <f t="shared" si="31"/>
        <v>6.057166767071529</v>
      </c>
    </row>
    <row r="46" spans="1:15" ht="15">
      <c r="A46" s="195"/>
      <c r="B46" s="132" t="s">
        <v>634</v>
      </c>
      <c r="C46" s="235">
        <v>21.81</v>
      </c>
      <c r="D46" s="234">
        <f aca="true" t="shared" si="32" ref="D46:O46">C46+(C46*10%)</f>
        <v>23.991</v>
      </c>
      <c r="E46" s="234">
        <f t="shared" si="32"/>
        <v>26.3901</v>
      </c>
      <c r="F46" s="234">
        <f t="shared" si="32"/>
        <v>29.02911</v>
      </c>
      <c r="G46" s="234">
        <f t="shared" si="32"/>
        <v>31.932021</v>
      </c>
      <c r="H46" s="234">
        <f t="shared" si="32"/>
        <v>35.1252231</v>
      </c>
      <c r="I46" s="234">
        <f t="shared" si="32"/>
        <v>38.63774541</v>
      </c>
      <c r="J46" s="234">
        <f t="shared" si="32"/>
        <v>42.501519951</v>
      </c>
      <c r="K46" s="234">
        <f t="shared" si="32"/>
        <v>46.7516719461</v>
      </c>
      <c r="L46" s="234">
        <f t="shared" si="32"/>
        <v>51.426839140709994</v>
      </c>
      <c r="M46" s="234">
        <f t="shared" si="32"/>
        <v>56.569523054780994</v>
      </c>
      <c r="N46" s="234">
        <f t="shared" si="32"/>
        <v>62.226475360259094</v>
      </c>
      <c r="O46" s="233">
        <f t="shared" si="32"/>
        <v>68.449122896285</v>
      </c>
    </row>
    <row r="47" spans="1:15" ht="15">
      <c r="A47" s="195"/>
      <c r="B47" s="132" t="s">
        <v>633</v>
      </c>
      <c r="C47" s="235"/>
      <c r="D47" s="234">
        <f aca="true" t="shared" si="33" ref="D47:O47">C47+(C47*10%)</f>
        <v>0</v>
      </c>
      <c r="E47" s="234">
        <f t="shared" si="33"/>
        <v>0</v>
      </c>
      <c r="F47" s="234">
        <f t="shared" si="33"/>
        <v>0</v>
      </c>
      <c r="G47" s="234">
        <f t="shared" si="33"/>
        <v>0</v>
      </c>
      <c r="H47" s="234">
        <f t="shared" si="33"/>
        <v>0</v>
      </c>
      <c r="I47" s="234">
        <f t="shared" si="33"/>
        <v>0</v>
      </c>
      <c r="J47" s="234">
        <f t="shared" si="33"/>
        <v>0</v>
      </c>
      <c r="K47" s="234">
        <f t="shared" si="33"/>
        <v>0</v>
      </c>
      <c r="L47" s="234">
        <f t="shared" si="33"/>
        <v>0</v>
      </c>
      <c r="M47" s="234">
        <f t="shared" si="33"/>
        <v>0</v>
      </c>
      <c r="N47" s="234">
        <f t="shared" si="33"/>
        <v>0</v>
      </c>
      <c r="O47" s="233">
        <f t="shared" si="33"/>
        <v>0</v>
      </c>
    </row>
    <row r="48" spans="1:15" ht="15">
      <c r="A48" s="195"/>
      <c r="B48" s="132" t="s">
        <v>632</v>
      </c>
      <c r="C48" s="235"/>
      <c r="D48" s="234">
        <f aca="true" t="shared" si="34" ref="D48:O48">C48+(C48*10%)</f>
        <v>0</v>
      </c>
      <c r="E48" s="234">
        <f t="shared" si="34"/>
        <v>0</v>
      </c>
      <c r="F48" s="234">
        <f t="shared" si="34"/>
        <v>0</v>
      </c>
      <c r="G48" s="234">
        <f t="shared" si="34"/>
        <v>0</v>
      </c>
      <c r="H48" s="234">
        <f t="shared" si="34"/>
        <v>0</v>
      </c>
      <c r="I48" s="234">
        <f t="shared" si="34"/>
        <v>0</v>
      </c>
      <c r="J48" s="234">
        <f t="shared" si="34"/>
        <v>0</v>
      </c>
      <c r="K48" s="234">
        <f t="shared" si="34"/>
        <v>0</v>
      </c>
      <c r="L48" s="234">
        <f t="shared" si="34"/>
        <v>0</v>
      </c>
      <c r="M48" s="234">
        <f t="shared" si="34"/>
        <v>0</v>
      </c>
      <c r="N48" s="234">
        <f t="shared" si="34"/>
        <v>0</v>
      </c>
      <c r="O48" s="233">
        <f t="shared" si="34"/>
        <v>0</v>
      </c>
    </row>
    <row r="49" spans="1:15" ht="15">
      <c r="A49" s="195"/>
      <c r="B49" s="132" t="s">
        <v>631</v>
      </c>
      <c r="C49" s="235"/>
      <c r="D49" s="234">
        <f aca="true" t="shared" si="35" ref="D49:O49">C49+(C49*10%)</f>
        <v>0</v>
      </c>
      <c r="E49" s="234">
        <f t="shared" si="35"/>
        <v>0</v>
      </c>
      <c r="F49" s="234">
        <f t="shared" si="35"/>
        <v>0</v>
      </c>
      <c r="G49" s="234">
        <f t="shared" si="35"/>
        <v>0</v>
      </c>
      <c r="H49" s="234">
        <f t="shared" si="35"/>
        <v>0</v>
      </c>
      <c r="I49" s="234">
        <f t="shared" si="35"/>
        <v>0</v>
      </c>
      <c r="J49" s="234">
        <f t="shared" si="35"/>
        <v>0</v>
      </c>
      <c r="K49" s="234">
        <f t="shared" si="35"/>
        <v>0</v>
      </c>
      <c r="L49" s="234">
        <f t="shared" si="35"/>
        <v>0</v>
      </c>
      <c r="M49" s="234">
        <f t="shared" si="35"/>
        <v>0</v>
      </c>
      <c r="N49" s="234">
        <f t="shared" si="35"/>
        <v>0</v>
      </c>
      <c r="O49" s="233">
        <f t="shared" si="35"/>
        <v>0</v>
      </c>
    </row>
    <row r="50" spans="1:15" ht="15">
      <c r="A50" s="195"/>
      <c r="B50" s="132" t="s">
        <v>630</v>
      </c>
      <c r="C50" s="235"/>
      <c r="D50" s="234">
        <f aca="true" t="shared" si="36" ref="D50:O50">C50+(C50*10%)</f>
        <v>0</v>
      </c>
      <c r="E50" s="234">
        <f t="shared" si="36"/>
        <v>0</v>
      </c>
      <c r="F50" s="234">
        <f t="shared" si="36"/>
        <v>0</v>
      </c>
      <c r="G50" s="234">
        <f t="shared" si="36"/>
        <v>0</v>
      </c>
      <c r="H50" s="234">
        <f t="shared" si="36"/>
        <v>0</v>
      </c>
      <c r="I50" s="234">
        <f t="shared" si="36"/>
        <v>0</v>
      </c>
      <c r="J50" s="234">
        <f t="shared" si="36"/>
        <v>0</v>
      </c>
      <c r="K50" s="234">
        <f t="shared" si="36"/>
        <v>0</v>
      </c>
      <c r="L50" s="234">
        <f t="shared" si="36"/>
        <v>0</v>
      </c>
      <c r="M50" s="234">
        <f t="shared" si="36"/>
        <v>0</v>
      </c>
      <c r="N50" s="234">
        <f t="shared" si="36"/>
        <v>0</v>
      </c>
      <c r="O50" s="233">
        <f t="shared" si="36"/>
        <v>0</v>
      </c>
    </row>
    <row r="51" spans="1:15" ht="15">
      <c r="A51" s="195"/>
      <c r="B51" s="132" t="s">
        <v>629</v>
      </c>
      <c r="C51" s="235"/>
      <c r="D51" s="234">
        <f aca="true" t="shared" si="37" ref="D51:O51">C51+(C51*10%)</f>
        <v>0</v>
      </c>
      <c r="E51" s="234">
        <f t="shared" si="37"/>
        <v>0</v>
      </c>
      <c r="F51" s="234">
        <f t="shared" si="37"/>
        <v>0</v>
      </c>
      <c r="G51" s="234">
        <f t="shared" si="37"/>
        <v>0</v>
      </c>
      <c r="H51" s="234">
        <f t="shared" si="37"/>
        <v>0</v>
      </c>
      <c r="I51" s="234">
        <f t="shared" si="37"/>
        <v>0</v>
      </c>
      <c r="J51" s="234">
        <f t="shared" si="37"/>
        <v>0</v>
      </c>
      <c r="K51" s="234">
        <f t="shared" si="37"/>
        <v>0</v>
      </c>
      <c r="L51" s="234">
        <f t="shared" si="37"/>
        <v>0</v>
      </c>
      <c r="M51" s="234">
        <f t="shared" si="37"/>
        <v>0</v>
      </c>
      <c r="N51" s="234">
        <f t="shared" si="37"/>
        <v>0</v>
      </c>
      <c r="O51" s="233">
        <f t="shared" si="37"/>
        <v>0</v>
      </c>
    </row>
    <row r="52" spans="1:15" ht="30">
      <c r="A52" s="195"/>
      <c r="B52" s="132" t="s">
        <v>628</v>
      </c>
      <c r="C52" s="235"/>
      <c r="D52" s="234">
        <f aca="true" t="shared" si="38" ref="D52:O52">C52+(C52*10%)</f>
        <v>0</v>
      </c>
      <c r="E52" s="234">
        <f t="shared" si="38"/>
        <v>0</v>
      </c>
      <c r="F52" s="234">
        <f t="shared" si="38"/>
        <v>0</v>
      </c>
      <c r="G52" s="234">
        <f t="shared" si="38"/>
        <v>0</v>
      </c>
      <c r="H52" s="234">
        <f t="shared" si="38"/>
        <v>0</v>
      </c>
      <c r="I52" s="234">
        <f t="shared" si="38"/>
        <v>0</v>
      </c>
      <c r="J52" s="234">
        <f t="shared" si="38"/>
        <v>0</v>
      </c>
      <c r="K52" s="234">
        <f t="shared" si="38"/>
        <v>0</v>
      </c>
      <c r="L52" s="234">
        <f t="shared" si="38"/>
        <v>0</v>
      </c>
      <c r="M52" s="234">
        <f t="shared" si="38"/>
        <v>0</v>
      </c>
      <c r="N52" s="234">
        <f t="shared" si="38"/>
        <v>0</v>
      </c>
      <c r="O52" s="233">
        <f t="shared" si="38"/>
        <v>0</v>
      </c>
    </row>
    <row r="53" spans="1:15" ht="15">
      <c r="A53" s="195"/>
      <c r="B53" s="132" t="s">
        <v>627</v>
      </c>
      <c r="C53" s="235">
        <v>1.99</v>
      </c>
      <c r="D53" s="234">
        <f aca="true" t="shared" si="39" ref="D53:O53">C53+(C53*10%)</f>
        <v>2.189</v>
      </c>
      <c r="E53" s="234">
        <f t="shared" si="39"/>
        <v>2.4079</v>
      </c>
      <c r="F53" s="234">
        <f t="shared" si="39"/>
        <v>2.64869</v>
      </c>
      <c r="G53" s="234">
        <f t="shared" si="39"/>
        <v>2.9135590000000002</v>
      </c>
      <c r="H53" s="234">
        <f t="shared" si="39"/>
        <v>3.2049149000000003</v>
      </c>
      <c r="I53" s="234">
        <f t="shared" si="39"/>
        <v>3.5254063900000006</v>
      </c>
      <c r="J53" s="234">
        <f t="shared" si="39"/>
        <v>3.8779470290000004</v>
      </c>
      <c r="K53" s="234">
        <f t="shared" si="39"/>
        <v>4.2657417319</v>
      </c>
      <c r="L53" s="234">
        <f t="shared" si="39"/>
        <v>4.69231590509</v>
      </c>
      <c r="M53" s="234">
        <f t="shared" si="39"/>
        <v>5.161547495599</v>
      </c>
      <c r="N53" s="234">
        <f t="shared" si="39"/>
        <v>5.677702245158899</v>
      </c>
      <c r="O53" s="233">
        <f t="shared" si="39"/>
        <v>6.245472469674789</v>
      </c>
    </row>
    <row r="54" spans="1:15" ht="15">
      <c r="A54" s="195"/>
      <c r="B54" s="132" t="s">
        <v>626</v>
      </c>
      <c r="C54" s="235">
        <v>2.19</v>
      </c>
      <c r="D54" s="234">
        <f aca="true" t="shared" si="40" ref="D54:O54">C54+(C54*10%)</f>
        <v>2.409</v>
      </c>
      <c r="E54" s="234">
        <f t="shared" si="40"/>
        <v>2.6498999999999997</v>
      </c>
      <c r="F54" s="234">
        <f t="shared" si="40"/>
        <v>2.9148899999999998</v>
      </c>
      <c r="G54" s="234">
        <f t="shared" si="40"/>
        <v>3.2063789999999996</v>
      </c>
      <c r="H54" s="234">
        <f t="shared" si="40"/>
        <v>3.5270168999999996</v>
      </c>
      <c r="I54" s="234">
        <f t="shared" si="40"/>
        <v>3.8797185899999995</v>
      </c>
      <c r="J54" s="234">
        <f t="shared" si="40"/>
        <v>4.267690449</v>
      </c>
      <c r="K54" s="234">
        <f t="shared" si="40"/>
        <v>4.6944594939</v>
      </c>
      <c r="L54" s="234">
        <f t="shared" si="40"/>
        <v>5.16390544329</v>
      </c>
      <c r="M54" s="234">
        <f t="shared" si="40"/>
        <v>5.680295987619</v>
      </c>
      <c r="N54" s="234">
        <f t="shared" si="40"/>
        <v>6.2483255863809</v>
      </c>
      <c r="O54" s="233">
        <f t="shared" si="40"/>
        <v>6.87315814501899</v>
      </c>
    </row>
    <row r="55" spans="1:15" ht="30">
      <c r="A55" s="195"/>
      <c r="B55" s="132" t="s">
        <v>625</v>
      </c>
      <c r="C55" s="235"/>
      <c r="D55" s="234">
        <f aca="true" t="shared" si="41" ref="D55:O55">C55+(C55*10%)</f>
        <v>0</v>
      </c>
      <c r="E55" s="234">
        <f t="shared" si="41"/>
        <v>0</v>
      </c>
      <c r="F55" s="234">
        <f t="shared" si="41"/>
        <v>0</v>
      </c>
      <c r="G55" s="234">
        <f t="shared" si="41"/>
        <v>0</v>
      </c>
      <c r="H55" s="234">
        <f t="shared" si="41"/>
        <v>0</v>
      </c>
      <c r="I55" s="234">
        <f t="shared" si="41"/>
        <v>0</v>
      </c>
      <c r="J55" s="234">
        <f t="shared" si="41"/>
        <v>0</v>
      </c>
      <c r="K55" s="234">
        <f t="shared" si="41"/>
        <v>0</v>
      </c>
      <c r="L55" s="234">
        <f t="shared" si="41"/>
        <v>0</v>
      </c>
      <c r="M55" s="234">
        <f t="shared" si="41"/>
        <v>0</v>
      </c>
      <c r="N55" s="234">
        <f t="shared" si="41"/>
        <v>0</v>
      </c>
      <c r="O55" s="233">
        <f t="shared" si="41"/>
        <v>0</v>
      </c>
    </row>
    <row r="56" spans="1:15" ht="15">
      <c r="A56" s="195"/>
      <c r="B56" s="132"/>
      <c r="C56" s="235"/>
      <c r="D56" s="234">
        <f aca="true" t="shared" si="42" ref="D56:O56">C56+(C56*10%)</f>
        <v>0</v>
      </c>
      <c r="E56" s="234">
        <f t="shared" si="42"/>
        <v>0</v>
      </c>
      <c r="F56" s="234">
        <f t="shared" si="42"/>
        <v>0</v>
      </c>
      <c r="G56" s="234">
        <f t="shared" si="42"/>
        <v>0</v>
      </c>
      <c r="H56" s="234">
        <f t="shared" si="42"/>
        <v>0</v>
      </c>
      <c r="I56" s="234">
        <f t="shared" si="42"/>
        <v>0</v>
      </c>
      <c r="J56" s="234">
        <f t="shared" si="42"/>
        <v>0</v>
      </c>
      <c r="K56" s="234">
        <f t="shared" si="42"/>
        <v>0</v>
      </c>
      <c r="L56" s="234">
        <f t="shared" si="42"/>
        <v>0</v>
      </c>
      <c r="M56" s="234">
        <f t="shared" si="42"/>
        <v>0</v>
      </c>
      <c r="N56" s="234">
        <f t="shared" si="42"/>
        <v>0</v>
      </c>
      <c r="O56" s="233">
        <f t="shared" si="42"/>
        <v>0</v>
      </c>
    </row>
    <row r="57" spans="1:15" ht="30">
      <c r="A57" s="200">
        <v>4</v>
      </c>
      <c r="B57" s="177" t="s">
        <v>539</v>
      </c>
      <c r="C57" s="235">
        <v>0.85</v>
      </c>
      <c r="D57" s="234">
        <f aca="true" t="shared" si="43" ref="D57:O57">C57+(C57*10%)</f>
        <v>0.9349999999999999</v>
      </c>
      <c r="E57" s="234">
        <f t="shared" si="43"/>
        <v>1.0285</v>
      </c>
      <c r="F57" s="234">
        <f t="shared" si="43"/>
        <v>1.1313499999999999</v>
      </c>
      <c r="G57" s="234">
        <f t="shared" si="43"/>
        <v>1.2444849999999998</v>
      </c>
      <c r="H57" s="234">
        <f t="shared" si="43"/>
        <v>1.3689334999999998</v>
      </c>
      <c r="I57" s="234">
        <f t="shared" si="43"/>
        <v>1.5058268499999998</v>
      </c>
      <c r="J57" s="234">
        <f t="shared" si="43"/>
        <v>1.6564095349999999</v>
      </c>
      <c r="K57" s="234">
        <f t="shared" si="43"/>
        <v>1.8220504885</v>
      </c>
      <c r="L57" s="234">
        <f t="shared" si="43"/>
        <v>2.0042555373499997</v>
      </c>
      <c r="M57" s="234">
        <f t="shared" si="43"/>
        <v>2.204681091085</v>
      </c>
      <c r="N57" s="234">
        <f t="shared" si="43"/>
        <v>2.4251492001934998</v>
      </c>
      <c r="O57" s="233">
        <f t="shared" si="43"/>
        <v>2.6676641202128497</v>
      </c>
    </row>
    <row r="58" spans="1:15" ht="30">
      <c r="A58" s="200"/>
      <c r="B58" s="177" t="s">
        <v>538</v>
      </c>
      <c r="C58" s="235"/>
      <c r="D58" s="234">
        <f aca="true" t="shared" si="44" ref="D58:O58">C58+(C58*10%)</f>
        <v>0</v>
      </c>
      <c r="E58" s="234">
        <f t="shared" si="44"/>
        <v>0</v>
      </c>
      <c r="F58" s="234">
        <f t="shared" si="44"/>
        <v>0</v>
      </c>
      <c r="G58" s="234">
        <f t="shared" si="44"/>
        <v>0</v>
      </c>
      <c r="H58" s="234">
        <f t="shared" si="44"/>
        <v>0</v>
      </c>
      <c r="I58" s="234">
        <f t="shared" si="44"/>
        <v>0</v>
      </c>
      <c r="J58" s="234">
        <f t="shared" si="44"/>
        <v>0</v>
      </c>
      <c r="K58" s="234">
        <f t="shared" si="44"/>
        <v>0</v>
      </c>
      <c r="L58" s="234">
        <f t="shared" si="44"/>
        <v>0</v>
      </c>
      <c r="M58" s="234">
        <f t="shared" si="44"/>
        <v>0</v>
      </c>
      <c r="N58" s="234">
        <f t="shared" si="44"/>
        <v>0</v>
      </c>
      <c r="O58" s="233">
        <f t="shared" si="44"/>
        <v>0</v>
      </c>
    </row>
    <row r="59" spans="1:15" ht="15">
      <c r="A59" s="195"/>
      <c r="B59" s="175" t="s">
        <v>537</v>
      </c>
      <c r="C59" s="235"/>
      <c r="D59" s="234">
        <f aca="true" t="shared" si="45" ref="D59:O59">C59+(C59*10%)</f>
        <v>0</v>
      </c>
      <c r="E59" s="234">
        <f t="shared" si="45"/>
        <v>0</v>
      </c>
      <c r="F59" s="234">
        <f t="shared" si="45"/>
        <v>0</v>
      </c>
      <c r="G59" s="234">
        <f t="shared" si="45"/>
        <v>0</v>
      </c>
      <c r="H59" s="234">
        <f t="shared" si="45"/>
        <v>0</v>
      </c>
      <c r="I59" s="234">
        <f t="shared" si="45"/>
        <v>0</v>
      </c>
      <c r="J59" s="234">
        <f t="shared" si="45"/>
        <v>0</v>
      </c>
      <c r="K59" s="234">
        <f t="shared" si="45"/>
        <v>0</v>
      </c>
      <c r="L59" s="234">
        <f t="shared" si="45"/>
        <v>0</v>
      </c>
      <c r="M59" s="234">
        <f t="shared" si="45"/>
        <v>0</v>
      </c>
      <c r="N59" s="234">
        <f t="shared" si="45"/>
        <v>0</v>
      </c>
      <c r="O59" s="233">
        <f t="shared" si="45"/>
        <v>0</v>
      </c>
    </row>
    <row r="60" spans="1:15" ht="45">
      <c r="A60" s="195"/>
      <c r="B60" s="177" t="s">
        <v>624</v>
      </c>
      <c r="C60" s="235"/>
      <c r="D60" s="234">
        <f aca="true" t="shared" si="46" ref="D60:O60">C60+(C60*10%)</f>
        <v>0</v>
      </c>
      <c r="E60" s="234">
        <f t="shared" si="46"/>
        <v>0</v>
      </c>
      <c r="F60" s="234">
        <f t="shared" si="46"/>
        <v>0</v>
      </c>
      <c r="G60" s="234">
        <f t="shared" si="46"/>
        <v>0</v>
      </c>
      <c r="H60" s="234">
        <f t="shared" si="46"/>
        <v>0</v>
      </c>
      <c r="I60" s="234">
        <f t="shared" si="46"/>
        <v>0</v>
      </c>
      <c r="J60" s="234">
        <f t="shared" si="46"/>
        <v>0</v>
      </c>
      <c r="K60" s="234">
        <f t="shared" si="46"/>
        <v>0</v>
      </c>
      <c r="L60" s="234">
        <f t="shared" si="46"/>
        <v>0</v>
      </c>
      <c r="M60" s="234">
        <f t="shared" si="46"/>
        <v>0</v>
      </c>
      <c r="N60" s="234">
        <f t="shared" si="46"/>
        <v>0</v>
      </c>
      <c r="O60" s="233">
        <f t="shared" si="46"/>
        <v>0</v>
      </c>
    </row>
    <row r="61" spans="1:15" ht="15">
      <c r="A61" s="195">
        <v>5</v>
      </c>
      <c r="B61" s="175" t="s">
        <v>534</v>
      </c>
      <c r="C61" s="236">
        <f aca="true" t="shared" si="47" ref="C61:O61">SUM(C62:C102)</f>
        <v>66.47</v>
      </c>
      <c r="D61" s="236">
        <f t="shared" si="47"/>
        <v>73.117</v>
      </c>
      <c r="E61" s="236">
        <f t="shared" si="47"/>
        <v>80.42870000000002</v>
      </c>
      <c r="F61" s="236">
        <f t="shared" si="47"/>
        <v>88.47157</v>
      </c>
      <c r="G61" s="236">
        <f t="shared" si="47"/>
        <v>97.31872700000001</v>
      </c>
      <c r="H61" s="236">
        <f t="shared" si="47"/>
        <v>107.05059969999999</v>
      </c>
      <c r="I61" s="236">
        <f t="shared" si="47"/>
        <v>117.75565967000001</v>
      </c>
      <c r="J61" s="236">
        <f t="shared" si="47"/>
        <v>129.531225637</v>
      </c>
      <c r="K61" s="236">
        <f t="shared" si="47"/>
        <v>142.48434820069997</v>
      </c>
      <c r="L61" s="236">
        <f t="shared" si="47"/>
        <v>156.73278302076997</v>
      </c>
      <c r="M61" s="236">
        <f t="shared" si="47"/>
        <v>172.40606132284702</v>
      </c>
      <c r="N61" s="236">
        <f t="shared" si="47"/>
        <v>189.6466674551317</v>
      </c>
      <c r="O61" s="236">
        <f t="shared" si="47"/>
        <v>208.6113342006448</v>
      </c>
    </row>
    <row r="62" spans="1:15" ht="15">
      <c r="A62" s="195"/>
      <c r="B62" s="175" t="s">
        <v>623</v>
      </c>
      <c r="C62" s="235">
        <v>1.08</v>
      </c>
      <c r="D62" s="234">
        <f aca="true" t="shared" si="48" ref="D62:O62">C62+(C62*10%)</f>
        <v>1.1880000000000002</v>
      </c>
      <c r="E62" s="234">
        <f t="shared" si="48"/>
        <v>1.3068000000000002</v>
      </c>
      <c r="F62" s="234">
        <f t="shared" si="48"/>
        <v>1.4374800000000003</v>
      </c>
      <c r="G62" s="234">
        <f t="shared" si="48"/>
        <v>1.5812280000000003</v>
      </c>
      <c r="H62" s="234">
        <f t="shared" si="48"/>
        <v>1.7393508000000004</v>
      </c>
      <c r="I62" s="234">
        <f t="shared" si="48"/>
        <v>1.9132858800000005</v>
      </c>
      <c r="J62" s="234">
        <f t="shared" si="48"/>
        <v>2.1046144680000007</v>
      </c>
      <c r="K62" s="234">
        <f t="shared" si="48"/>
        <v>2.315075914800001</v>
      </c>
      <c r="L62" s="234">
        <f t="shared" si="48"/>
        <v>2.546583506280001</v>
      </c>
      <c r="M62" s="234">
        <f t="shared" si="48"/>
        <v>2.801241856908001</v>
      </c>
      <c r="N62" s="234">
        <f t="shared" si="48"/>
        <v>3.081366042598801</v>
      </c>
      <c r="O62" s="233">
        <f t="shared" si="48"/>
        <v>3.389502646858681</v>
      </c>
    </row>
    <row r="63" spans="1:15" ht="15">
      <c r="A63" s="195"/>
      <c r="B63" s="175" t="s">
        <v>622</v>
      </c>
      <c r="C63" s="235">
        <v>1.04</v>
      </c>
      <c r="D63" s="234">
        <f aca="true" t="shared" si="49" ref="D63:O63">C63+(C63*10%)</f>
        <v>1.1440000000000001</v>
      </c>
      <c r="E63" s="234">
        <f t="shared" si="49"/>
        <v>1.2584000000000002</v>
      </c>
      <c r="F63" s="234">
        <f t="shared" si="49"/>
        <v>1.3842400000000001</v>
      </c>
      <c r="G63" s="234">
        <f t="shared" si="49"/>
        <v>1.5226640000000002</v>
      </c>
      <c r="H63" s="234">
        <f t="shared" si="49"/>
        <v>1.6749304000000003</v>
      </c>
      <c r="I63" s="234">
        <f t="shared" si="49"/>
        <v>1.8424234400000004</v>
      </c>
      <c r="J63" s="234">
        <f t="shared" si="49"/>
        <v>2.0266657840000004</v>
      </c>
      <c r="K63" s="234">
        <f t="shared" si="49"/>
        <v>2.2293323624000005</v>
      </c>
      <c r="L63" s="234">
        <f t="shared" si="49"/>
        <v>2.4522655986400004</v>
      </c>
      <c r="M63" s="234">
        <f t="shared" si="49"/>
        <v>2.6974921585040006</v>
      </c>
      <c r="N63" s="234">
        <f t="shared" si="49"/>
        <v>2.967241374354401</v>
      </c>
      <c r="O63" s="233">
        <f t="shared" si="49"/>
        <v>3.263965511789841</v>
      </c>
    </row>
    <row r="64" spans="1:15" ht="15">
      <c r="A64" s="195"/>
      <c r="B64" s="175" t="s">
        <v>621</v>
      </c>
      <c r="C64" s="235">
        <v>10.42</v>
      </c>
      <c r="D64" s="234">
        <f aca="true" t="shared" si="50" ref="D64:O64">C64+(C64*10%)</f>
        <v>11.462</v>
      </c>
      <c r="E64" s="234">
        <f t="shared" si="50"/>
        <v>12.6082</v>
      </c>
      <c r="F64" s="234">
        <f t="shared" si="50"/>
        <v>13.86902</v>
      </c>
      <c r="G64" s="234">
        <f t="shared" si="50"/>
        <v>15.255922000000002</v>
      </c>
      <c r="H64" s="234">
        <f t="shared" si="50"/>
        <v>16.781514200000004</v>
      </c>
      <c r="I64" s="234">
        <f t="shared" si="50"/>
        <v>18.459665620000003</v>
      </c>
      <c r="J64" s="234">
        <f t="shared" si="50"/>
        <v>20.305632182000004</v>
      </c>
      <c r="K64" s="234">
        <f t="shared" si="50"/>
        <v>22.336195400200005</v>
      </c>
      <c r="L64" s="234">
        <f t="shared" si="50"/>
        <v>24.569814940220006</v>
      </c>
      <c r="M64" s="234">
        <f t="shared" si="50"/>
        <v>27.02679643424201</v>
      </c>
      <c r="N64" s="234">
        <f t="shared" si="50"/>
        <v>29.72947607766621</v>
      </c>
      <c r="O64" s="233">
        <f t="shared" si="50"/>
        <v>32.702423685432834</v>
      </c>
    </row>
    <row r="65" spans="1:15" ht="15">
      <c r="A65" s="195"/>
      <c r="B65" s="175" t="s">
        <v>568</v>
      </c>
      <c r="C65" s="235">
        <v>0.01</v>
      </c>
      <c r="D65" s="234">
        <f aca="true" t="shared" si="51" ref="D65:O65">C65+(C65*10%)</f>
        <v>0.011</v>
      </c>
      <c r="E65" s="234">
        <f t="shared" si="51"/>
        <v>0.0121</v>
      </c>
      <c r="F65" s="234">
        <f t="shared" si="51"/>
        <v>0.013309999999999999</v>
      </c>
      <c r="G65" s="234">
        <f t="shared" si="51"/>
        <v>0.014641</v>
      </c>
      <c r="H65" s="234">
        <f t="shared" si="51"/>
        <v>0.0161051</v>
      </c>
      <c r="I65" s="234">
        <f t="shared" si="51"/>
        <v>0.01771561</v>
      </c>
      <c r="J65" s="234">
        <f t="shared" si="51"/>
        <v>0.019487171</v>
      </c>
      <c r="K65" s="234">
        <f t="shared" si="51"/>
        <v>0.0214358881</v>
      </c>
      <c r="L65" s="234">
        <f t="shared" si="51"/>
        <v>0.02357947691</v>
      </c>
      <c r="M65" s="234">
        <f t="shared" si="51"/>
        <v>0.025937424601</v>
      </c>
      <c r="N65" s="234">
        <f t="shared" si="51"/>
        <v>0.0285311670611</v>
      </c>
      <c r="O65" s="233">
        <f t="shared" si="51"/>
        <v>0.03138428376721</v>
      </c>
    </row>
    <row r="66" spans="1:15" ht="15">
      <c r="A66" s="195"/>
      <c r="B66" s="175" t="s">
        <v>620</v>
      </c>
      <c r="C66" s="235"/>
      <c r="D66" s="234">
        <f aca="true" t="shared" si="52" ref="D66:O66">C66+(C66*10%)</f>
        <v>0</v>
      </c>
      <c r="E66" s="234">
        <f t="shared" si="52"/>
        <v>0</v>
      </c>
      <c r="F66" s="234">
        <f t="shared" si="52"/>
        <v>0</v>
      </c>
      <c r="G66" s="234">
        <f t="shared" si="52"/>
        <v>0</v>
      </c>
      <c r="H66" s="234">
        <f t="shared" si="52"/>
        <v>0</v>
      </c>
      <c r="I66" s="234">
        <f t="shared" si="52"/>
        <v>0</v>
      </c>
      <c r="J66" s="234">
        <f t="shared" si="52"/>
        <v>0</v>
      </c>
      <c r="K66" s="234">
        <f t="shared" si="52"/>
        <v>0</v>
      </c>
      <c r="L66" s="234">
        <f t="shared" si="52"/>
        <v>0</v>
      </c>
      <c r="M66" s="234">
        <f t="shared" si="52"/>
        <v>0</v>
      </c>
      <c r="N66" s="234">
        <f t="shared" si="52"/>
        <v>0</v>
      </c>
      <c r="O66" s="233">
        <f t="shared" si="52"/>
        <v>0</v>
      </c>
    </row>
    <row r="67" spans="1:15" ht="15">
      <c r="A67" s="195"/>
      <c r="B67" s="175" t="s">
        <v>619</v>
      </c>
      <c r="C67" s="235">
        <v>1.82</v>
      </c>
      <c r="D67" s="234">
        <f aca="true" t="shared" si="53" ref="D67:O67">C67+(C67*10%)</f>
        <v>2.0020000000000002</v>
      </c>
      <c r="E67" s="234">
        <f t="shared" si="53"/>
        <v>2.2022000000000004</v>
      </c>
      <c r="F67" s="234">
        <f t="shared" si="53"/>
        <v>2.4224200000000002</v>
      </c>
      <c r="G67" s="234">
        <f t="shared" si="53"/>
        <v>2.6646620000000003</v>
      </c>
      <c r="H67" s="234">
        <f t="shared" si="53"/>
        <v>2.9311282000000003</v>
      </c>
      <c r="I67" s="234">
        <f t="shared" si="53"/>
        <v>3.2242410200000005</v>
      </c>
      <c r="J67" s="234">
        <f t="shared" si="53"/>
        <v>3.5466651220000003</v>
      </c>
      <c r="K67" s="234">
        <f t="shared" si="53"/>
        <v>3.9013316342000004</v>
      </c>
      <c r="L67" s="234">
        <f t="shared" si="53"/>
        <v>4.291464797620001</v>
      </c>
      <c r="M67" s="234">
        <f t="shared" si="53"/>
        <v>4.720611277382001</v>
      </c>
      <c r="N67" s="234">
        <f t="shared" si="53"/>
        <v>5.1926724051202005</v>
      </c>
      <c r="O67" s="233">
        <f t="shared" si="53"/>
        <v>5.711939645632221</v>
      </c>
    </row>
    <row r="68" spans="1:15" ht="15">
      <c r="A68" s="195"/>
      <c r="B68" s="175" t="s">
        <v>618</v>
      </c>
      <c r="C68" s="235"/>
      <c r="D68" s="234">
        <f aca="true" t="shared" si="54" ref="D68:O68">C68+(C68*10%)</f>
        <v>0</v>
      </c>
      <c r="E68" s="234">
        <f t="shared" si="54"/>
        <v>0</v>
      </c>
      <c r="F68" s="234">
        <f t="shared" si="54"/>
        <v>0</v>
      </c>
      <c r="G68" s="234">
        <f t="shared" si="54"/>
        <v>0</v>
      </c>
      <c r="H68" s="234">
        <f t="shared" si="54"/>
        <v>0</v>
      </c>
      <c r="I68" s="234">
        <f t="shared" si="54"/>
        <v>0</v>
      </c>
      <c r="J68" s="234">
        <f t="shared" si="54"/>
        <v>0</v>
      </c>
      <c r="K68" s="234">
        <f t="shared" si="54"/>
        <v>0</v>
      </c>
      <c r="L68" s="234">
        <f t="shared" si="54"/>
        <v>0</v>
      </c>
      <c r="M68" s="234">
        <f t="shared" si="54"/>
        <v>0</v>
      </c>
      <c r="N68" s="234">
        <f t="shared" si="54"/>
        <v>0</v>
      </c>
      <c r="O68" s="233">
        <f t="shared" si="54"/>
        <v>0</v>
      </c>
    </row>
    <row r="69" spans="1:15" ht="15">
      <c r="A69" s="195"/>
      <c r="B69" s="175" t="s">
        <v>617</v>
      </c>
      <c r="C69" s="235">
        <v>13.69</v>
      </c>
      <c r="D69" s="234">
        <f aca="true" t="shared" si="55" ref="D69:O69">C69+(C69*10%)</f>
        <v>15.059</v>
      </c>
      <c r="E69" s="234">
        <f t="shared" si="55"/>
        <v>16.564899999999998</v>
      </c>
      <c r="F69" s="234">
        <f t="shared" si="55"/>
        <v>18.22139</v>
      </c>
      <c r="G69" s="234">
        <f t="shared" si="55"/>
        <v>20.043529</v>
      </c>
      <c r="H69" s="234">
        <f t="shared" si="55"/>
        <v>22.0478819</v>
      </c>
      <c r="I69" s="234">
        <f t="shared" si="55"/>
        <v>24.25267009</v>
      </c>
      <c r="J69" s="234">
        <f t="shared" si="55"/>
        <v>26.677937098999998</v>
      </c>
      <c r="K69" s="234">
        <f t="shared" si="55"/>
        <v>29.345730808899997</v>
      </c>
      <c r="L69" s="234">
        <f t="shared" si="55"/>
        <v>32.28030388979</v>
      </c>
      <c r="M69" s="234">
        <f t="shared" si="55"/>
        <v>35.508334278769</v>
      </c>
      <c r="N69" s="234">
        <f t="shared" si="55"/>
        <v>39.0591677066459</v>
      </c>
      <c r="O69" s="233">
        <f t="shared" si="55"/>
        <v>42.96508447731049</v>
      </c>
    </row>
    <row r="70" spans="1:15" ht="15">
      <c r="A70" s="195"/>
      <c r="B70" s="175" t="s">
        <v>616</v>
      </c>
      <c r="C70" s="235">
        <v>3.57</v>
      </c>
      <c r="D70" s="234">
        <f aca="true" t="shared" si="56" ref="D70:O70">C70+(C70*10%)</f>
        <v>3.9269999999999996</v>
      </c>
      <c r="E70" s="234">
        <f t="shared" si="56"/>
        <v>4.319699999999999</v>
      </c>
      <c r="F70" s="234">
        <f t="shared" si="56"/>
        <v>4.751669999999999</v>
      </c>
      <c r="G70" s="234">
        <f t="shared" si="56"/>
        <v>5.226836999999999</v>
      </c>
      <c r="H70" s="234">
        <f t="shared" si="56"/>
        <v>5.749520699999999</v>
      </c>
      <c r="I70" s="234">
        <f t="shared" si="56"/>
        <v>6.324472769999999</v>
      </c>
      <c r="J70" s="234">
        <f t="shared" si="56"/>
        <v>6.956920046999999</v>
      </c>
      <c r="K70" s="234">
        <f t="shared" si="56"/>
        <v>7.6526120516999985</v>
      </c>
      <c r="L70" s="234">
        <f t="shared" si="56"/>
        <v>8.41787325687</v>
      </c>
      <c r="M70" s="234">
        <f t="shared" si="56"/>
        <v>9.259660582556998</v>
      </c>
      <c r="N70" s="234">
        <f t="shared" si="56"/>
        <v>10.185626640812698</v>
      </c>
      <c r="O70" s="233">
        <f t="shared" si="56"/>
        <v>11.204189304893967</v>
      </c>
    </row>
    <row r="71" spans="1:15" ht="15">
      <c r="A71" s="195"/>
      <c r="B71" s="175" t="s">
        <v>615</v>
      </c>
      <c r="C71" s="235">
        <v>2.39</v>
      </c>
      <c r="D71" s="234">
        <f aca="true" t="shared" si="57" ref="D71:O71">C71+(C71*10%)</f>
        <v>2.629</v>
      </c>
      <c r="E71" s="234">
        <f t="shared" si="57"/>
        <v>2.8919</v>
      </c>
      <c r="F71" s="234">
        <f t="shared" si="57"/>
        <v>3.18109</v>
      </c>
      <c r="G71" s="234">
        <f t="shared" si="57"/>
        <v>3.4991990000000004</v>
      </c>
      <c r="H71" s="234">
        <f t="shared" si="57"/>
        <v>3.8491189000000006</v>
      </c>
      <c r="I71" s="234">
        <f t="shared" si="57"/>
        <v>4.23403079</v>
      </c>
      <c r="J71" s="234">
        <f t="shared" si="57"/>
        <v>4.657433869</v>
      </c>
      <c r="K71" s="234">
        <f t="shared" si="57"/>
        <v>5.1231772559</v>
      </c>
      <c r="L71" s="234">
        <f t="shared" si="57"/>
        <v>5.63549498149</v>
      </c>
      <c r="M71" s="234">
        <f t="shared" si="57"/>
        <v>6.199044479639</v>
      </c>
      <c r="N71" s="234">
        <f t="shared" si="57"/>
        <v>6.8189489276029</v>
      </c>
      <c r="O71" s="233">
        <f t="shared" si="57"/>
        <v>7.50084382036319</v>
      </c>
    </row>
    <row r="72" spans="1:15" ht="15">
      <c r="A72" s="195"/>
      <c r="B72" s="175" t="s">
        <v>614</v>
      </c>
      <c r="C72" s="235"/>
      <c r="D72" s="234">
        <f aca="true" t="shared" si="58" ref="D72:O72">C72+(C72*10%)</f>
        <v>0</v>
      </c>
      <c r="E72" s="234">
        <f t="shared" si="58"/>
        <v>0</v>
      </c>
      <c r="F72" s="234">
        <f t="shared" si="58"/>
        <v>0</v>
      </c>
      <c r="G72" s="234">
        <f t="shared" si="58"/>
        <v>0</v>
      </c>
      <c r="H72" s="234">
        <f t="shared" si="58"/>
        <v>0</v>
      </c>
      <c r="I72" s="234">
        <f t="shared" si="58"/>
        <v>0</v>
      </c>
      <c r="J72" s="234">
        <f t="shared" si="58"/>
        <v>0</v>
      </c>
      <c r="K72" s="234">
        <f t="shared" si="58"/>
        <v>0</v>
      </c>
      <c r="L72" s="234">
        <f t="shared" si="58"/>
        <v>0</v>
      </c>
      <c r="M72" s="234">
        <f t="shared" si="58"/>
        <v>0</v>
      </c>
      <c r="N72" s="234">
        <f t="shared" si="58"/>
        <v>0</v>
      </c>
      <c r="O72" s="233">
        <f t="shared" si="58"/>
        <v>0</v>
      </c>
    </row>
    <row r="73" spans="1:15" ht="15">
      <c r="A73" s="195"/>
      <c r="B73" s="175" t="s">
        <v>613</v>
      </c>
      <c r="C73" s="235">
        <v>0.38</v>
      </c>
      <c r="D73" s="234">
        <f aca="true" t="shared" si="59" ref="D73:O73">C73+(C73*10%)</f>
        <v>0.41800000000000004</v>
      </c>
      <c r="E73" s="234">
        <f t="shared" si="59"/>
        <v>0.45980000000000004</v>
      </c>
      <c r="F73" s="234">
        <f t="shared" si="59"/>
        <v>0.50578</v>
      </c>
      <c r="G73" s="234">
        <f t="shared" si="59"/>
        <v>0.556358</v>
      </c>
      <c r="H73" s="234">
        <f t="shared" si="59"/>
        <v>0.6119938</v>
      </c>
      <c r="I73" s="234">
        <f t="shared" si="59"/>
        <v>0.6731931800000001</v>
      </c>
      <c r="J73" s="234">
        <f t="shared" si="59"/>
        <v>0.7405124980000001</v>
      </c>
      <c r="K73" s="234">
        <f t="shared" si="59"/>
        <v>0.8145637478000001</v>
      </c>
      <c r="L73" s="234">
        <f t="shared" si="59"/>
        <v>0.8960201225800001</v>
      </c>
      <c r="M73" s="234">
        <f t="shared" si="59"/>
        <v>0.9856221348380001</v>
      </c>
      <c r="N73" s="234">
        <f t="shared" si="59"/>
        <v>1.0841843483218</v>
      </c>
      <c r="O73" s="233">
        <f t="shared" si="59"/>
        <v>1.19260278315398</v>
      </c>
    </row>
    <row r="74" spans="1:15" ht="15">
      <c r="A74" s="195"/>
      <c r="B74" s="175" t="s">
        <v>612</v>
      </c>
      <c r="C74" s="235"/>
      <c r="D74" s="234">
        <f aca="true" t="shared" si="60" ref="D74:O74">C74+(C74*10%)</f>
        <v>0</v>
      </c>
      <c r="E74" s="234">
        <f t="shared" si="60"/>
        <v>0</v>
      </c>
      <c r="F74" s="234">
        <f t="shared" si="60"/>
        <v>0</v>
      </c>
      <c r="G74" s="234">
        <f t="shared" si="60"/>
        <v>0</v>
      </c>
      <c r="H74" s="234">
        <f t="shared" si="60"/>
        <v>0</v>
      </c>
      <c r="I74" s="234">
        <f t="shared" si="60"/>
        <v>0</v>
      </c>
      <c r="J74" s="234">
        <f t="shared" si="60"/>
        <v>0</v>
      </c>
      <c r="K74" s="234">
        <f t="shared" si="60"/>
        <v>0</v>
      </c>
      <c r="L74" s="234">
        <f t="shared" si="60"/>
        <v>0</v>
      </c>
      <c r="M74" s="234">
        <f t="shared" si="60"/>
        <v>0</v>
      </c>
      <c r="N74" s="234">
        <f t="shared" si="60"/>
        <v>0</v>
      </c>
      <c r="O74" s="233">
        <f t="shared" si="60"/>
        <v>0</v>
      </c>
    </row>
    <row r="75" spans="1:15" ht="15">
      <c r="A75" s="195"/>
      <c r="B75" s="175" t="s">
        <v>611</v>
      </c>
      <c r="C75" s="235">
        <v>2.19</v>
      </c>
      <c r="D75" s="234">
        <f aca="true" t="shared" si="61" ref="D75:O75">C75+(C75*10%)</f>
        <v>2.409</v>
      </c>
      <c r="E75" s="234">
        <f t="shared" si="61"/>
        <v>2.6498999999999997</v>
      </c>
      <c r="F75" s="234">
        <f t="shared" si="61"/>
        <v>2.9148899999999998</v>
      </c>
      <c r="G75" s="234">
        <f t="shared" si="61"/>
        <v>3.2063789999999996</v>
      </c>
      <c r="H75" s="234">
        <f t="shared" si="61"/>
        <v>3.5270168999999996</v>
      </c>
      <c r="I75" s="234">
        <f t="shared" si="61"/>
        <v>3.8797185899999995</v>
      </c>
      <c r="J75" s="234">
        <f t="shared" si="61"/>
        <v>4.267690449</v>
      </c>
      <c r="K75" s="234">
        <f t="shared" si="61"/>
        <v>4.6944594939</v>
      </c>
      <c r="L75" s="234">
        <f t="shared" si="61"/>
        <v>5.16390544329</v>
      </c>
      <c r="M75" s="234">
        <f t="shared" si="61"/>
        <v>5.680295987619</v>
      </c>
      <c r="N75" s="234">
        <f t="shared" si="61"/>
        <v>6.2483255863809</v>
      </c>
      <c r="O75" s="233">
        <f t="shared" si="61"/>
        <v>6.87315814501899</v>
      </c>
    </row>
    <row r="76" spans="1:15" ht="15">
      <c r="A76" s="195"/>
      <c r="B76" s="175" t="s">
        <v>610</v>
      </c>
      <c r="C76" s="235">
        <v>0.26</v>
      </c>
      <c r="D76" s="234">
        <f aca="true" t="shared" si="62" ref="D76:O76">C76+(C76*10%)</f>
        <v>0.28600000000000003</v>
      </c>
      <c r="E76" s="234">
        <f t="shared" si="62"/>
        <v>0.31460000000000005</v>
      </c>
      <c r="F76" s="234">
        <f t="shared" si="62"/>
        <v>0.34606000000000003</v>
      </c>
      <c r="G76" s="234">
        <f t="shared" si="62"/>
        <v>0.38066600000000006</v>
      </c>
      <c r="H76" s="234">
        <f t="shared" si="62"/>
        <v>0.41873260000000007</v>
      </c>
      <c r="I76" s="234">
        <f t="shared" si="62"/>
        <v>0.4606058600000001</v>
      </c>
      <c r="J76" s="234">
        <f t="shared" si="62"/>
        <v>0.5066664460000001</v>
      </c>
      <c r="K76" s="234">
        <f t="shared" si="62"/>
        <v>0.5573330906000001</v>
      </c>
      <c r="L76" s="234">
        <f t="shared" si="62"/>
        <v>0.6130663996600001</v>
      </c>
      <c r="M76" s="234">
        <f t="shared" si="62"/>
        <v>0.6743730396260001</v>
      </c>
      <c r="N76" s="234">
        <f t="shared" si="62"/>
        <v>0.7418103435886002</v>
      </c>
      <c r="O76" s="233">
        <f t="shared" si="62"/>
        <v>0.8159913779474602</v>
      </c>
    </row>
    <row r="77" spans="1:15" ht="15">
      <c r="A77" s="195"/>
      <c r="B77" s="175" t="s">
        <v>609</v>
      </c>
      <c r="C77" s="235">
        <v>6.87</v>
      </c>
      <c r="D77" s="234">
        <f aca="true" t="shared" si="63" ref="D77:O77">C77+(C77*10%)</f>
        <v>7.557</v>
      </c>
      <c r="E77" s="234">
        <f t="shared" si="63"/>
        <v>8.3127</v>
      </c>
      <c r="F77" s="234">
        <f t="shared" si="63"/>
        <v>9.14397</v>
      </c>
      <c r="G77" s="234">
        <f t="shared" si="63"/>
        <v>10.058366999999999</v>
      </c>
      <c r="H77" s="234">
        <f t="shared" si="63"/>
        <v>11.064203699999998</v>
      </c>
      <c r="I77" s="234">
        <f t="shared" si="63"/>
        <v>12.170624069999999</v>
      </c>
      <c r="J77" s="234">
        <f t="shared" si="63"/>
        <v>13.387686476999999</v>
      </c>
      <c r="K77" s="234">
        <f t="shared" si="63"/>
        <v>14.7264551247</v>
      </c>
      <c r="L77" s="234">
        <f t="shared" si="63"/>
        <v>16.199100637169998</v>
      </c>
      <c r="M77" s="234">
        <f t="shared" si="63"/>
        <v>17.819010700887</v>
      </c>
      <c r="N77" s="234">
        <f t="shared" si="63"/>
        <v>19.6009117709757</v>
      </c>
      <c r="O77" s="233">
        <f t="shared" si="63"/>
        <v>21.56100294807327</v>
      </c>
    </row>
    <row r="78" spans="1:15" ht="15">
      <c r="A78" s="195"/>
      <c r="B78" s="175" t="s">
        <v>608</v>
      </c>
      <c r="C78" s="235"/>
      <c r="D78" s="234">
        <f aca="true" t="shared" si="64" ref="D78:O78">C78+(C78*10%)</f>
        <v>0</v>
      </c>
      <c r="E78" s="234">
        <f t="shared" si="64"/>
        <v>0</v>
      </c>
      <c r="F78" s="234">
        <f t="shared" si="64"/>
        <v>0</v>
      </c>
      <c r="G78" s="234">
        <f t="shared" si="64"/>
        <v>0</v>
      </c>
      <c r="H78" s="234">
        <f t="shared" si="64"/>
        <v>0</v>
      </c>
      <c r="I78" s="234">
        <f t="shared" si="64"/>
        <v>0</v>
      </c>
      <c r="J78" s="234">
        <f t="shared" si="64"/>
        <v>0</v>
      </c>
      <c r="K78" s="234">
        <f t="shared" si="64"/>
        <v>0</v>
      </c>
      <c r="L78" s="234">
        <f t="shared" si="64"/>
        <v>0</v>
      </c>
      <c r="M78" s="234">
        <f t="shared" si="64"/>
        <v>0</v>
      </c>
      <c r="N78" s="234">
        <f t="shared" si="64"/>
        <v>0</v>
      </c>
      <c r="O78" s="233">
        <f t="shared" si="64"/>
        <v>0</v>
      </c>
    </row>
    <row r="79" spans="1:15" ht="15">
      <c r="A79" s="195"/>
      <c r="B79" s="175" t="s">
        <v>607</v>
      </c>
      <c r="C79" s="235">
        <v>0.6</v>
      </c>
      <c r="D79" s="234">
        <f aca="true" t="shared" si="65" ref="D79:O79">C79+(C79*10%)</f>
        <v>0.6599999999999999</v>
      </c>
      <c r="E79" s="234">
        <f t="shared" si="65"/>
        <v>0.7259999999999999</v>
      </c>
      <c r="F79" s="234">
        <f t="shared" si="65"/>
        <v>0.7985999999999999</v>
      </c>
      <c r="G79" s="234">
        <f t="shared" si="65"/>
        <v>0.8784599999999998</v>
      </c>
      <c r="H79" s="234">
        <f t="shared" si="65"/>
        <v>0.9663059999999998</v>
      </c>
      <c r="I79" s="234">
        <f t="shared" si="65"/>
        <v>1.0629365999999998</v>
      </c>
      <c r="J79" s="234">
        <f t="shared" si="65"/>
        <v>1.1692302599999997</v>
      </c>
      <c r="K79" s="234">
        <f t="shared" si="65"/>
        <v>1.2861532859999998</v>
      </c>
      <c r="L79" s="234">
        <f t="shared" si="65"/>
        <v>1.4147686145999998</v>
      </c>
      <c r="M79" s="234">
        <f t="shared" si="65"/>
        <v>1.5562454760599997</v>
      </c>
      <c r="N79" s="234">
        <f t="shared" si="65"/>
        <v>1.7118700236659996</v>
      </c>
      <c r="O79" s="233">
        <f t="shared" si="65"/>
        <v>1.8830570260325996</v>
      </c>
    </row>
    <row r="80" spans="1:15" ht="15">
      <c r="A80" s="195"/>
      <c r="B80" s="175" t="s">
        <v>606</v>
      </c>
      <c r="C80" s="235"/>
      <c r="D80" s="234">
        <f aca="true" t="shared" si="66" ref="D80:O80">C80+(C80*10%)</f>
        <v>0</v>
      </c>
      <c r="E80" s="234">
        <f t="shared" si="66"/>
        <v>0</v>
      </c>
      <c r="F80" s="234">
        <f t="shared" si="66"/>
        <v>0</v>
      </c>
      <c r="G80" s="234">
        <f t="shared" si="66"/>
        <v>0</v>
      </c>
      <c r="H80" s="234">
        <f t="shared" si="66"/>
        <v>0</v>
      </c>
      <c r="I80" s="234">
        <f t="shared" si="66"/>
        <v>0</v>
      </c>
      <c r="J80" s="234">
        <f t="shared" si="66"/>
        <v>0</v>
      </c>
      <c r="K80" s="234">
        <f t="shared" si="66"/>
        <v>0</v>
      </c>
      <c r="L80" s="234">
        <f t="shared" si="66"/>
        <v>0</v>
      </c>
      <c r="M80" s="234">
        <f t="shared" si="66"/>
        <v>0</v>
      </c>
      <c r="N80" s="234">
        <f t="shared" si="66"/>
        <v>0</v>
      </c>
      <c r="O80" s="233">
        <f t="shared" si="66"/>
        <v>0</v>
      </c>
    </row>
    <row r="81" spans="1:15" ht="15">
      <c r="A81" s="195"/>
      <c r="B81" s="175" t="s">
        <v>605</v>
      </c>
      <c r="C81" s="235">
        <v>2.26</v>
      </c>
      <c r="D81" s="234">
        <f aca="true" t="shared" si="67" ref="D81:O81">C81+(C81*10%)</f>
        <v>2.4859999999999998</v>
      </c>
      <c r="E81" s="234">
        <f t="shared" si="67"/>
        <v>2.7346</v>
      </c>
      <c r="F81" s="234">
        <f t="shared" si="67"/>
        <v>3.00806</v>
      </c>
      <c r="G81" s="234">
        <f t="shared" si="67"/>
        <v>3.308866</v>
      </c>
      <c r="H81" s="234">
        <f t="shared" si="67"/>
        <v>3.6397526</v>
      </c>
      <c r="I81" s="234">
        <f t="shared" si="67"/>
        <v>4.00372786</v>
      </c>
      <c r="J81" s="234">
        <f t="shared" si="67"/>
        <v>4.404100646</v>
      </c>
      <c r="K81" s="234">
        <f t="shared" si="67"/>
        <v>4.8445107106</v>
      </c>
      <c r="L81" s="234">
        <f t="shared" si="67"/>
        <v>5.3289617816599995</v>
      </c>
      <c r="M81" s="234">
        <f t="shared" si="67"/>
        <v>5.861857959826</v>
      </c>
      <c r="N81" s="234">
        <f t="shared" si="67"/>
        <v>6.4480437558086</v>
      </c>
      <c r="O81" s="233">
        <f t="shared" si="67"/>
        <v>7.09284813138946</v>
      </c>
    </row>
    <row r="82" spans="1:15" ht="15">
      <c r="A82" s="195"/>
      <c r="B82" s="175" t="s">
        <v>604</v>
      </c>
      <c r="C82" s="235"/>
      <c r="D82" s="234">
        <f aca="true" t="shared" si="68" ref="D82:O82">C82+(C82*10%)</f>
        <v>0</v>
      </c>
      <c r="E82" s="234">
        <f t="shared" si="68"/>
        <v>0</v>
      </c>
      <c r="F82" s="234">
        <f t="shared" si="68"/>
        <v>0</v>
      </c>
      <c r="G82" s="234">
        <f t="shared" si="68"/>
        <v>0</v>
      </c>
      <c r="H82" s="234">
        <f t="shared" si="68"/>
        <v>0</v>
      </c>
      <c r="I82" s="234">
        <f t="shared" si="68"/>
        <v>0</v>
      </c>
      <c r="J82" s="234">
        <f t="shared" si="68"/>
        <v>0</v>
      </c>
      <c r="K82" s="234">
        <f t="shared" si="68"/>
        <v>0</v>
      </c>
      <c r="L82" s="234">
        <f t="shared" si="68"/>
        <v>0</v>
      </c>
      <c r="M82" s="234">
        <f t="shared" si="68"/>
        <v>0</v>
      </c>
      <c r="N82" s="234">
        <f t="shared" si="68"/>
        <v>0</v>
      </c>
      <c r="O82" s="233">
        <f t="shared" si="68"/>
        <v>0</v>
      </c>
    </row>
    <row r="83" spans="1:15" ht="15">
      <c r="A83" s="195"/>
      <c r="B83" s="175" t="s">
        <v>603</v>
      </c>
      <c r="C83" s="235">
        <v>4.97</v>
      </c>
      <c r="D83" s="234">
        <f aca="true" t="shared" si="69" ref="D83:O83">C83+(C83*10%)</f>
        <v>5.467</v>
      </c>
      <c r="E83" s="234">
        <f t="shared" si="69"/>
        <v>6.0137</v>
      </c>
      <c r="F83" s="234">
        <f t="shared" si="69"/>
        <v>6.61507</v>
      </c>
      <c r="G83" s="234">
        <f t="shared" si="69"/>
        <v>7.2765770000000005</v>
      </c>
      <c r="H83" s="234">
        <f t="shared" si="69"/>
        <v>8.004234700000001</v>
      </c>
      <c r="I83" s="234">
        <f t="shared" si="69"/>
        <v>8.804658170000002</v>
      </c>
      <c r="J83" s="234">
        <f t="shared" si="69"/>
        <v>9.685123987</v>
      </c>
      <c r="K83" s="234">
        <f t="shared" si="69"/>
        <v>10.6536363857</v>
      </c>
      <c r="L83" s="234">
        <f t="shared" si="69"/>
        <v>11.71900002427</v>
      </c>
      <c r="M83" s="234">
        <f t="shared" si="69"/>
        <v>12.890900026697</v>
      </c>
      <c r="N83" s="234">
        <f t="shared" si="69"/>
        <v>14.179990029366701</v>
      </c>
      <c r="O83" s="233">
        <f t="shared" si="69"/>
        <v>15.59798903230337</v>
      </c>
    </row>
    <row r="84" spans="1:15" ht="15">
      <c r="A84" s="195"/>
      <c r="B84" s="175" t="s">
        <v>602</v>
      </c>
      <c r="C84" s="235"/>
      <c r="D84" s="234">
        <f aca="true" t="shared" si="70" ref="D84:O84">C84+(C84*10%)</f>
        <v>0</v>
      </c>
      <c r="E84" s="234">
        <f t="shared" si="70"/>
        <v>0</v>
      </c>
      <c r="F84" s="234">
        <f t="shared" si="70"/>
        <v>0</v>
      </c>
      <c r="G84" s="234">
        <f t="shared" si="70"/>
        <v>0</v>
      </c>
      <c r="H84" s="234">
        <f t="shared" si="70"/>
        <v>0</v>
      </c>
      <c r="I84" s="234">
        <f t="shared" si="70"/>
        <v>0</v>
      </c>
      <c r="J84" s="234">
        <f t="shared" si="70"/>
        <v>0</v>
      </c>
      <c r="K84" s="234">
        <f t="shared" si="70"/>
        <v>0</v>
      </c>
      <c r="L84" s="234">
        <f t="shared" si="70"/>
        <v>0</v>
      </c>
      <c r="M84" s="234">
        <f t="shared" si="70"/>
        <v>0</v>
      </c>
      <c r="N84" s="234">
        <f t="shared" si="70"/>
        <v>0</v>
      </c>
      <c r="O84" s="233">
        <f t="shared" si="70"/>
        <v>0</v>
      </c>
    </row>
    <row r="85" spans="1:15" ht="15">
      <c r="A85" s="195"/>
      <c r="B85" s="175" t="s">
        <v>601</v>
      </c>
      <c r="C85" s="235">
        <v>3.78</v>
      </c>
      <c r="D85" s="234">
        <f aca="true" t="shared" si="71" ref="D85:O85">C85+(C85*10%)</f>
        <v>4.1579999999999995</v>
      </c>
      <c r="E85" s="234">
        <f t="shared" si="71"/>
        <v>4.573799999999999</v>
      </c>
      <c r="F85" s="234">
        <f t="shared" si="71"/>
        <v>5.031179999999999</v>
      </c>
      <c r="G85" s="234">
        <f t="shared" si="71"/>
        <v>5.534297999999999</v>
      </c>
      <c r="H85" s="234">
        <f t="shared" si="71"/>
        <v>6.087727799999999</v>
      </c>
      <c r="I85" s="234">
        <f t="shared" si="71"/>
        <v>6.696500579999999</v>
      </c>
      <c r="J85" s="234">
        <f t="shared" si="71"/>
        <v>7.366150637999999</v>
      </c>
      <c r="K85" s="234">
        <f t="shared" si="71"/>
        <v>8.1027657018</v>
      </c>
      <c r="L85" s="234">
        <f t="shared" si="71"/>
        <v>8.913042271979998</v>
      </c>
      <c r="M85" s="234">
        <f t="shared" si="71"/>
        <v>9.804346499178</v>
      </c>
      <c r="N85" s="234">
        <f t="shared" si="71"/>
        <v>10.7847811490958</v>
      </c>
      <c r="O85" s="233">
        <f t="shared" si="71"/>
        <v>11.863259264005379</v>
      </c>
    </row>
    <row r="86" spans="1:15" ht="15">
      <c r="A86" s="195"/>
      <c r="B86" s="175" t="s">
        <v>600</v>
      </c>
      <c r="C86" s="235">
        <v>0.7</v>
      </c>
      <c r="D86" s="234">
        <f aca="true" t="shared" si="72" ref="D86:O86">C86+(C86*10%)</f>
        <v>0.7699999999999999</v>
      </c>
      <c r="E86" s="234">
        <f t="shared" si="72"/>
        <v>0.8469999999999999</v>
      </c>
      <c r="F86" s="234">
        <f t="shared" si="72"/>
        <v>0.9316999999999999</v>
      </c>
      <c r="G86" s="234">
        <f t="shared" si="72"/>
        <v>1.02487</v>
      </c>
      <c r="H86" s="234">
        <f t="shared" si="72"/>
        <v>1.127357</v>
      </c>
      <c r="I86" s="234">
        <f t="shared" si="72"/>
        <v>1.2400927</v>
      </c>
      <c r="J86" s="234">
        <f t="shared" si="72"/>
        <v>1.3641019699999999</v>
      </c>
      <c r="K86" s="234">
        <f t="shared" si="72"/>
        <v>1.500512167</v>
      </c>
      <c r="L86" s="234">
        <f t="shared" si="72"/>
        <v>1.6505633836999998</v>
      </c>
      <c r="M86" s="234">
        <f t="shared" si="72"/>
        <v>1.8156197220699997</v>
      </c>
      <c r="N86" s="234">
        <f t="shared" si="72"/>
        <v>1.9971816942769998</v>
      </c>
      <c r="O86" s="233">
        <f t="shared" si="72"/>
        <v>2.1968998637047</v>
      </c>
    </row>
    <row r="87" spans="1:15" ht="15">
      <c r="A87" s="195"/>
      <c r="B87" s="175" t="s">
        <v>599</v>
      </c>
      <c r="C87" s="235">
        <v>3.71</v>
      </c>
      <c r="D87" s="234">
        <f aca="true" t="shared" si="73" ref="D87:O87">C87+(C87*10%)</f>
        <v>4.0809999999999995</v>
      </c>
      <c r="E87" s="234">
        <f t="shared" si="73"/>
        <v>4.4891</v>
      </c>
      <c r="F87" s="234">
        <f t="shared" si="73"/>
        <v>4.938009999999999</v>
      </c>
      <c r="G87" s="234">
        <f t="shared" si="73"/>
        <v>5.431811</v>
      </c>
      <c r="H87" s="234">
        <f t="shared" si="73"/>
        <v>5.9749921</v>
      </c>
      <c r="I87" s="234">
        <f t="shared" si="73"/>
        <v>6.572491309999999</v>
      </c>
      <c r="J87" s="234">
        <f t="shared" si="73"/>
        <v>7.229740440999999</v>
      </c>
      <c r="K87" s="234">
        <f t="shared" si="73"/>
        <v>7.952714485099999</v>
      </c>
      <c r="L87" s="234">
        <f t="shared" si="73"/>
        <v>8.747985933609998</v>
      </c>
      <c r="M87" s="234">
        <f t="shared" si="73"/>
        <v>9.622784526970998</v>
      </c>
      <c r="N87" s="234">
        <f t="shared" si="73"/>
        <v>10.585062979668098</v>
      </c>
      <c r="O87" s="233">
        <f t="shared" si="73"/>
        <v>11.643569277634908</v>
      </c>
    </row>
    <row r="88" spans="1:15" ht="15">
      <c r="A88" s="195"/>
      <c r="B88" s="175" t="s">
        <v>598</v>
      </c>
      <c r="C88" s="235"/>
      <c r="D88" s="234">
        <f aca="true" t="shared" si="74" ref="D88:O88">C88+(C88*10%)</f>
        <v>0</v>
      </c>
      <c r="E88" s="234">
        <f t="shared" si="74"/>
        <v>0</v>
      </c>
      <c r="F88" s="234">
        <f t="shared" si="74"/>
        <v>0</v>
      </c>
      <c r="G88" s="234">
        <f t="shared" si="74"/>
        <v>0</v>
      </c>
      <c r="H88" s="234">
        <f t="shared" si="74"/>
        <v>0</v>
      </c>
      <c r="I88" s="234">
        <f t="shared" si="74"/>
        <v>0</v>
      </c>
      <c r="J88" s="234">
        <f t="shared" si="74"/>
        <v>0</v>
      </c>
      <c r="K88" s="234">
        <f t="shared" si="74"/>
        <v>0</v>
      </c>
      <c r="L88" s="234">
        <f t="shared" si="74"/>
        <v>0</v>
      </c>
      <c r="M88" s="234">
        <f t="shared" si="74"/>
        <v>0</v>
      </c>
      <c r="N88" s="234">
        <f t="shared" si="74"/>
        <v>0</v>
      </c>
      <c r="O88" s="233">
        <f t="shared" si="74"/>
        <v>0</v>
      </c>
    </row>
    <row r="89" spans="1:15" ht="15">
      <c r="A89" s="195"/>
      <c r="B89" s="175" t="s">
        <v>597</v>
      </c>
      <c r="C89" s="235">
        <v>0.12</v>
      </c>
      <c r="D89" s="234">
        <f aca="true" t="shared" si="75" ref="D89:O89">C89+(C89*10%)</f>
        <v>0.132</v>
      </c>
      <c r="E89" s="234">
        <f t="shared" si="75"/>
        <v>0.1452</v>
      </c>
      <c r="F89" s="234">
        <f t="shared" si="75"/>
        <v>0.15972</v>
      </c>
      <c r="G89" s="234">
        <f t="shared" si="75"/>
        <v>0.17569200000000001</v>
      </c>
      <c r="H89" s="234">
        <f t="shared" si="75"/>
        <v>0.19326120000000002</v>
      </c>
      <c r="I89" s="234">
        <f t="shared" si="75"/>
        <v>0.21258732000000002</v>
      </c>
      <c r="J89" s="234">
        <f t="shared" si="75"/>
        <v>0.23384605200000003</v>
      </c>
      <c r="K89" s="234">
        <f t="shared" si="75"/>
        <v>0.25723065720000005</v>
      </c>
      <c r="L89" s="234">
        <f t="shared" si="75"/>
        <v>0.28295372292000004</v>
      </c>
      <c r="M89" s="234">
        <f t="shared" si="75"/>
        <v>0.31124909521200006</v>
      </c>
      <c r="N89" s="234">
        <f t="shared" si="75"/>
        <v>0.34237400473320007</v>
      </c>
      <c r="O89" s="233">
        <f t="shared" si="75"/>
        <v>0.3766114052065201</v>
      </c>
    </row>
    <row r="90" spans="1:15" ht="15">
      <c r="A90" s="195"/>
      <c r="B90" s="175" t="s">
        <v>596</v>
      </c>
      <c r="C90" s="235">
        <v>0.48</v>
      </c>
      <c r="D90" s="234">
        <f aca="true" t="shared" si="76" ref="D90:O90">C90+(C90*10%)</f>
        <v>0.528</v>
      </c>
      <c r="E90" s="234">
        <f t="shared" si="76"/>
        <v>0.5808</v>
      </c>
      <c r="F90" s="234">
        <f t="shared" si="76"/>
        <v>0.63888</v>
      </c>
      <c r="G90" s="234">
        <f t="shared" si="76"/>
        <v>0.7027680000000001</v>
      </c>
      <c r="H90" s="234">
        <f t="shared" si="76"/>
        <v>0.7730448000000001</v>
      </c>
      <c r="I90" s="234">
        <f t="shared" si="76"/>
        <v>0.8503492800000001</v>
      </c>
      <c r="J90" s="234">
        <f t="shared" si="76"/>
        <v>0.9353842080000001</v>
      </c>
      <c r="K90" s="234">
        <f t="shared" si="76"/>
        <v>1.0289226288000002</v>
      </c>
      <c r="L90" s="234">
        <f t="shared" si="76"/>
        <v>1.1318148916800002</v>
      </c>
      <c r="M90" s="234">
        <f t="shared" si="76"/>
        <v>1.2449963808480002</v>
      </c>
      <c r="N90" s="234">
        <f t="shared" si="76"/>
        <v>1.3694960189328003</v>
      </c>
      <c r="O90" s="233">
        <f t="shared" si="76"/>
        <v>1.5064456208260804</v>
      </c>
    </row>
    <row r="91" spans="1:15" ht="15">
      <c r="A91" s="195"/>
      <c r="B91" s="175" t="s">
        <v>595</v>
      </c>
      <c r="C91" s="235">
        <v>0.01</v>
      </c>
      <c r="D91" s="234">
        <f aca="true" t="shared" si="77" ref="D91:O91">C91+(C91*10%)</f>
        <v>0.011</v>
      </c>
      <c r="E91" s="234">
        <f t="shared" si="77"/>
        <v>0.0121</v>
      </c>
      <c r="F91" s="234">
        <f t="shared" si="77"/>
        <v>0.013309999999999999</v>
      </c>
      <c r="G91" s="234">
        <f t="shared" si="77"/>
        <v>0.014641</v>
      </c>
      <c r="H91" s="234">
        <f t="shared" si="77"/>
        <v>0.0161051</v>
      </c>
      <c r="I91" s="234">
        <f t="shared" si="77"/>
        <v>0.01771561</v>
      </c>
      <c r="J91" s="234">
        <f t="shared" si="77"/>
        <v>0.019487171</v>
      </c>
      <c r="K91" s="234">
        <f t="shared" si="77"/>
        <v>0.0214358881</v>
      </c>
      <c r="L91" s="234">
        <f t="shared" si="77"/>
        <v>0.02357947691</v>
      </c>
      <c r="M91" s="234">
        <f t="shared" si="77"/>
        <v>0.025937424601</v>
      </c>
      <c r="N91" s="234">
        <f t="shared" si="77"/>
        <v>0.0285311670611</v>
      </c>
      <c r="O91" s="233">
        <f t="shared" si="77"/>
        <v>0.03138428376721</v>
      </c>
    </row>
    <row r="92" spans="1:15" ht="15">
      <c r="A92" s="195"/>
      <c r="B92" s="175" t="s">
        <v>594</v>
      </c>
      <c r="C92" s="235">
        <v>0.47</v>
      </c>
      <c r="D92" s="234">
        <f aca="true" t="shared" si="78" ref="D92:O92">C92+(C92*10%)</f>
        <v>0.517</v>
      </c>
      <c r="E92" s="234">
        <f t="shared" si="78"/>
        <v>0.5687</v>
      </c>
      <c r="F92" s="234">
        <f t="shared" si="78"/>
        <v>0.62557</v>
      </c>
      <c r="G92" s="234">
        <f t="shared" si="78"/>
        <v>0.6881269999999999</v>
      </c>
      <c r="H92" s="234">
        <f t="shared" si="78"/>
        <v>0.7569396999999999</v>
      </c>
      <c r="I92" s="234">
        <f t="shared" si="78"/>
        <v>0.8326336699999999</v>
      </c>
      <c r="J92" s="234">
        <f t="shared" si="78"/>
        <v>0.9158970369999999</v>
      </c>
      <c r="K92" s="234">
        <f t="shared" si="78"/>
        <v>1.0074867406999999</v>
      </c>
      <c r="L92" s="234">
        <f t="shared" si="78"/>
        <v>1.1082354147699998</v>
      </c>
      <c r="M92" s="234">
        <f t="shared" si="78"/>
        <v>1.2190589562469998</v>
      </c>
      <c r="N92" s="234">
        <f t="shared" si="78"/>
        <v>1.3409648518716997</v>
      </c>
      <c r="O92" s="233">
        <f t="shared" si="78"/>
        <v>1.4750613370588697</v>
      </c>
    </row>
    <row r="93" spans="1:15" ht="15">
      <c r="A93" s="195"/>
      <c r="B93" s="175" t="s">
        <v>593</v>
      </c>
      <c r="C93" s="235"/>
      <c r="D93" s="234">
        <f aca="true" t="shared" si="79" ref="D93:O93">C93+(C93*10%)</f>
        <v>0</v>
      </c>
      <c r="E93" s="234">
        <f t="shared" si="79"/>
        <v>0</v>
      </c>
      <c r="F93" s="234">
        <f t="shared" si="79"/>
        <v>0</v>
      </c>
      <c r="G93" s="234">
        <f t="shared" si="79"/>
        <v>0</v>
      </c>
      <c r="H93" s="234">
        <f t="shared" si="79"/>
        <v>0</v>
      </c>
      <c r="I93" s="234">
        <f t="shared" si="79"/>
        <v>0</v>
      </c>
      <c r="J93" s="234">
        <f t="shared" si="79"/>
        <v>0</v>
      </c>
      <c r="K93" s="234">
        <f t="shared" si="79"/>
        <v>0</v>
      </c>
      <c r="L93" s="234">
        <f t="shared" si="79"/>
        <v>0</v>
      </c>
      <c r="M93" s="234">
        <f t="shared" si="79"/>
        <v>0</v>
      </c>
      <c r="N93" s="234">
        <f t="shared" si="79"/>
        <v>0</v>
      </c>
      <c r="O93" s="233">
        <f t="shared" si="79"/>
        <v>0</v>
      </c>
    </row>
    <row r="94" spans="1:15" ht="15">
      <c r="A94" s="195"/>
      <c r="B94" s="175" t="s">
        <v>592</v>
      </c>
      <c r="C94" s="235"/>
      <c r="D94" s="234">
        <f aca="true" t="shared" si="80" ref="D94:O94">C94+(C94*10%)</f>
        <v>0</v>
      </c>
      <c r="E94" s="234">
        <f t="shared" si="80"/>
        <v>0</v>
      </c>
      <c r="F94" s="234">
        <f t="shared" si="80"/>
        <v>0</v>
      </c>
      <c r="G94" s="234">
        <f t="shared" si="80"/>
        <v>0</v>
      </c>
      <c r="H94" s="234">
        <f t="shared" si="80"/>
        <v>0</v>
      </c>
      <c r="I94" s="234">
        <f t="shared" si="80"/>
        <v>0</v>
      </c>
      <c r="J94" s="234">
        <f t="shared" si="80"/>
        <v>0</v>
      </c>
      <c r="K94" s="234">
        <f t="shared" si="80"/>
        <v>0</v>
      </c>
      <c r="L94" s="234">
        <f t="shared" si="80"/>
        <v>0</v>
      </c>
      <c r="M94" s="234">
        <f t="shared" si="80"/>
        <v>0</v>
      </c>
      <c r="N94" s="234">
        <f t="shared" si="80"/>
        <v>0</v>
      </c>
      <c r="O94" s="233">
        <f t="shared" si="80"/>
        <v>0</v>
      </c>
    </row>
    <row r="95" spans="1:15" ht="15">
      <c r="A95" s="195"/>
      <c r="B95" s="175" t="s">
        <v>591</v>
      </c>
      <c r="C95" s="235"/>
      <c r="D95" s="234">
        <f aca="true" t="shared" si="81" ref="D95:O95">C95+(C95*10%)</f>
        <v>0</v>
      </c>
      <c r="E95" s="234">
        <f t="shared" si="81"/>
        <v>0</v>
      </c>
      <c r="F95" s="234">
        <f t="shared" si="81"/>
        <v>0</v>
      </c>
      <c r="G95" s="234">
        <f t="shared" si="81"/>
        <v>0</v>
      </c>
      <c r="H95" s="234">
        <f t="shared" si="81"/>
        <v>0</v>
      </c>
      <c r="I95" s="234">
        <f t="shared" si="81"/>
        <v>0</v>
      </c>
      <c r="J95" s="234">
        <f t="shared" si="81"/>
        <v>0</v>
      </c>
      <c r="K95" s="234">
        <f t="shared" si="81"/>
        <v>0</v>
      </c>
      <c r="L95" s="234">
        <f t="shared" si="81"/>
        <v>0</v>
      </c>
      <c r="M95" s="234">
        <f t="shared" si="81"/>
        <v>0</v>
      </c>
      <c r="N95" s="234">
        <f t="shared" si="81"/>
        <v>0</v>
      </c>
      <c r="O95" s="233">
        <f t="shared" si="81"/>
        <v>0</v>
      </c>
    </row>
    <row r="96" spans="1:15" ht="15">
      <c r="A96" s="195"/>
      <c r="B96" s="175" t="s">
        <v>590</v>
      </c>
      <c r="C96" s="235">
        <v>0.27</v>
      </c>
      <c r="D96" s="234">
        <f aca="true" t="shared" si="82" ref="D96:O96">C96+(C96*10%)</f>
        <v>0.29700000000000004</v>
      </c>
      <c r="E96" s="234">
        <f t="shared" si="82"/>
        <v>0.32670000000000005</v>
      </c>
      <c r="F96" s="234">
        <f t="shared" si="82"/>
        <v>0.3593700000000001</v>
      </c>
      <c r="G96" s="234">
        <f t="shared" si="82"/>
        <v>0.3953070000000001</v>
      </c>
      <c r="H96" s="234">
        <f t="shared" si="82"/>
        <v>0.4348377000000001</v>
      </c>
      <c r="I96" s="234">
        <f t="shared" si="82"/>
        <v>0.47832147000000014</v>
      </c>
      <c r="J96" s="234">
        <f t="shared" si="82"/>
        <v>0.5261536170000002</v>
      </c>
      <c r="K96" s="234">
        <f t="shared" si="82"/>
        <v>0.5787689787000002</v>
      </c>
      <c r="L96" s="234">
        <f t="shared" si="82"/>
        <v>0.6366458765700003</v>
      </c>
      <c r="M96" s="234">
        <f t="shared" si="82"/>
        <v>0.7003104642270003</v>
      </c>
      <c r="N96" s="234">
        <f t="shared" si="82"/>
        <v>0.7703415106497002</v>
      </c>
      <c r="O96" s="233">
        <f t="shared" si="82"/>
        <v>0.8473756617146703</v>
      </c>
    </row>
    <row r="97" spans="1:15" ht="15">
      <c r="A97" s="195"/>
      <c r="B97" s="175" t="s">
        <v>589</v>
      </c>
      <c r="C97" s="235"/>
      <c r="D97" s="234">
        <f aca="true" t="shared" si="83" ref="D97:O97">C97+(C97*10%)</f>
        <v>0</v>
      </c>
      <c r="E97" s="234">
        <f t="shared" si="83"/>
        <v>0</v>
      </c>
      <c r="F97" s="234">
        <f t="shared" si="83"/>
        <v>0</v>
      </c>
      <c r="G97" s="234">
        <f t="shared" si="83"/>
        <v>0</v>
      </c>
      <c r="H97" s="234">
        <f t="shared" si="83"/>
        <v>0</v>
      </c>
      <c r="I97" s="234">
        <f t="shared" si="83"/>
        <v>0</v>
      </c>
      <c r="J97" s="234">
        <f t="shared" si="83"/>
        <v>0</v>
      </c>
      <c r="K97" s="234">
        <f t="shared" si="83"/>
        <v>0</v>
      </c>
      <c r="L97" s="234">
        <f t="shared" si="83"/>
        <v>0</v>
      </c>
      <c r="M97" s="234">
        <f t="shared" si="83"/>
        <v>0</v>
      </c>
      <c r="N97" s="234">
        <f t="shared" si="83"/>
        <v>0</v>
      </c>
      <c r="O97" s="233">
        <f t="shared" si="83"/>
        <v>0</v>
      </c>
    </row>
    <row r="98" spans="1:15" ht="15">
      <c r="A98" s="195"/>
      <c r="B98" s="175" t="s">
        <v>588</v>
      </c>
      <c r="C98" s="235">
        <v>0.27</v>
      </c>
      <c r="D98" s="234">
        <f aca="true" t="shared" si="84" ref="D98:O98">C98+(C98*10%)</f>
        <v>0.29700000000000004</v>
      </c>
      <c r="E98" s="234">
        <f t="shared" si="84"/>
        <v>0.32670000000000005</v>
      </c>
      <c r="F98" s="234">
        <f t="shared" si="84"/>
        <v>0.3593700000000001</v>
      </c>
      <c r="G98" s="234">
        <f t="shared" si="84"/>
        <v>0.3953070000000001</v>
      </c>
      <c r="H98" s="234">
        <f t="shared" si="84"/>
        <v>0.4348377000000001</v>
      </c>
      <c r="I98" s="234">
        <f t="shared" si="84"/>
        <v>0.47832147000000014</v>
      </c>
      <c r="J98" s="234">
        <f t="shared" si="84"/>
        <v>0.5261536170000002</v>
      </c>
      <c r="K98" s="234">
        <f t="shared" si="84"/>
        <v>0.5787689787000002</v>
      </c>
      <c r="L98" s="234">
        <f t="shared" si="84"/>
        <v>0.6366458765700003</v>
      </c>
      <c r="M98" s="234">
        <f t="shared" si="84"/>
        <v>0.7003104642270003</v>
      </c>
      <c r="N98" s="234">
        <f t="shared" si="84"/>
        <v>0.7703415106497002</v>
      </c>
      <c r="O98" s="233">
        <f t="shared" si="84"/>
        <v>0.8473756617146703</v>
      </c>
    </row>
    <row r="99" spans="1:15" ht="15">
      <c r="A99" s="195"/>
      <c r="B99" s="175" t="s">
        <v>587</v>
      </c>
      <c r="C99" s="235">
        <v>0.15</v>
      </c>
      <c r="D99" s="234">
        <f aca="true" t="shared" si="85" ref="D99:O99">C99+(C99*10%)</f>
        <v>0.16499999999999998</v>
      </c>
      <c r="E99" s="234">
        <f t="shared" si="85"/>
        <v>0.18149999999999997</v>
      </c>
      <c r="F99" s="234">
        <f t="shared" si="85"/>
        <v>0.19964999999999997</v>
      </c>
      <c r="G99" s="234">
        <f t="shared" si="85"/>
        <v>0.21961499999999995</v>
      </c>
      <c r="H99" s="234">
        <f t="shared" si="85"/>
        <v>0.24157649999999994</v>
      </c>
      <c r="I99" s="234">
        <f t="shared" si="85"/>
        <v>0.26573414999999995</v>
      </c>
      <c r="J99" s="234">
        <f t="shared" si="85"/>
        <v>0.29230756499999994</v>
      </c>
      <c r="K99" s="234">
        <f t="shared" si="85"/>
        <v>0.32153832149999995</v>
      </c>
      <c r="L99" s="234">
        <f t="shared" si="85"/>
        <v>0.35369215364999995</v>
      </c>
      <c r="M99" s="234">
        <f t="shared" si="85"/>
        <v>0.38906136901499994</v>
      </c>
      <c r="N99" s="234">
        <f t="shared" si="85"/>
        <v>0.4279675059164999</v>
      </c>
      <c r="O99" s="233">
        <f t="shared" si="85"/>
        <v>0.4707642565081499</v>
      </c>
    </row>
    <row r="100" spans="1:15" ht="15">
      <c r="A100" s="195"/>
      <c r="B100" s="175" t="s">
        <v>518</v>
      </c>
      <c r="C100" s="235"/>
      <c r="D100" s="234">
        <f aca="true" t="shared" si="86" ref="D100:O100">C100+(C100*10%)</f>
        <v>0</v>
      </c>
      <c r="E100" s="234">
        <f t="shared" si="86"/>
        <v>0</v>
      </c>
      <c r="F100" s="234">
        <f t="shared" si="86"/>
        <v>0</v>
      </c>
      <c r="G100" s="234">
        <f t="shared" si="86"/>
        <v>0</v>
      </c>
      <c r="H100" s="234">
        <f t="shared" si="86"/>
        <v>0</v>
      </c>
      <c r="I100" s="234">
        <f t="shared" si="86"/>
        <v>0</v>
      </c>
      <c r="J100" s="234">
        <f t="shared" si="86"/>
        <v>0</v>
      </c>
      <c r="K100" s="234">
        <f t="shared" si="86"/>
        <v>0</v>
      </c>
      <c r="L100" s="234">
        <f t="shared" si="86"/>
        <v>0</v>
      </c>
      <c r="M100" s="234">
        <f t="shared" si="86"/>
        <v>0</v>
      </c>
      <c r="N100" s="234">
        <f t="shared" si="86"/>
        <v>0</v>
      </c>
      <c r="O100" s="233">
        <f t="shared" si="86"/>
        <v>0</v>
      </c>
    </row>
    <row r="101" spans="1:15" ht="15">
      <c r="A101" s="195"/>
      <c r="B101" s="175" t="s">
        <v>586</v>
      </c>
      <c r="C101" s="235">
        <v>0.2</v>
      </c>
      <c r="D101" s="234">
        <f aca="true" t="shared" si="87" ref="D101:O101">C101+(C101*10%)</f>
        <v>0.22000000000000003</v>
      </c>
      <c r="E101" s="234">
        <f t="shared" si="87"/>
        <v>0.24200000000000005</v>
      </c>
      <c r="F101" s="234">
        <f t="shared" si="87"/>
        <v>0.26620000000000005</v>
      </c>
      <c r="G101" s="234">
        <f t="shared" si="87"/>
        <v>0.2928200000000001</v>
      </c>
      <c r="H101" s="234">
        <f t="shared" si="87"/>
        <v>0.3221020000000001</v>
      </c>
      <c r="I101" s="234">
        <f t="shared" si="87"/>
        <v>0.35431220000000013</v>
      </c>
      <c r="J101" s="234">
        <f t="shared" si="87"/>
        <v>0.3897434200000002</v>
      </c>
      <c r="K101" s="234">
        <f t="shared" si="87"/>
        <v>0.4287177620000002</v>
      </c>
      <c r="L101" s="234">
        <f t="shared" si="87"/>
        <v>0.47158953820000027</v>
      </c>
      <c r="M101" s="234">
        <f t="shared" si="87"/>
        <v>0.5187484920200003</v>
      </c>
      <c r="N101" s="234">
        <f t="shared" si="87"/>
        <v>0.5706233412220003</v>
      </c>
      <c r="O101" s="233">
        <f t="shared" si="87"/>
        <v>0.6276856753442004</v>
      </c>
    </row>
    <row r="102" spans="1:15" ht="15">
      <c r="A102" s="195"/>
      <c r="B102" s="175" t="s">
        <v>585</v>
      </c>
      <c r="C102" s="235">
        <v>4.76</v>
      </c>
      <c r="D102" s="234">
        <f aca="true" t="shared" si="88" ref="D102:O102">C102+(C102*10%)</f>
        <v>5.236</v>
      </c>
      <c r="E102" s="234">
        <f t="shared" si="88"/>
        <v>5.7596</v>
      </c>
      <c r="F102" s="234">
        <f t="shared" si="88"/>
        <v>6.33556</v>
      </c>
      <c r="G102" s="234">
        <f t="shared" si="88"/>
        <v>6.969116</v>
      </c>
      <c r="H102" s="234">
        <f t="shared" si="88"/>
        <v>7.6660276</v>
      </c>
      <c r="I102" s="234">
        <f t="shared" si="88"/>
        <v>8.43263036</v>
      </c>
      <c r="J102" s="234">
        <f t="shared" si="88"/>
        <v>9.275893395999999</v>
      </c>
      <c r="K102" s="234">
        <f t="shared" si="88"/>
        <v>10.203482735599998</v>
      </c>
      <c r="L102" s="234">
        <f t="shared" si="88"/>
        <v>11.223831009159998</v>
      </c>
      <c r="M102" s="234">
        <f t="shared" si="88"/>
        <v>12.346214110075998</v>
      </c>
      <c r="N102" s="234">
        <f t="shared" si="88"/>
        <v>13.580835521083598</v>
      </c>
      <c r="O102" s="233">
        <f t="shared" si="88"/>
        <v>14.938919073191958</v>
      </c>
    </row>
    <row r="103" spans="1:15" ht="15.75" thickBot="1">
      <c r="A103" s="191"/>
      <c r="B103" s="190" t="s">
        <v>2</v>
      </c>
      <c r="C103" s="232">
        <f aca="true" t="shared" si="89" ref="C103:O103">C7+C15+C33+C57+C61</f>
        <v>476.1700000000001</v>
      </c>
      <c r="D103" s="232">
        <f t="shared" si="89"/>
        <v>523.787</v>
      </c>
      <c r="E103" s="232">
        <f t="shared" si="89"/>
        <v>576.1657000000001</v>
      </c>
      <c r="F103" s="232">
        <f t="shared" si="89"/>
        <v>633.78227</v>
      </c>
      <c r="G103" s="232">
        <f t="shared" si="89"/>
        <v>697.160497</v>
      </c>
      <c r="H103" s="232">
        <f t="shared" si="89"/>
        <v>766.8765467</v>
      </c>
      <c r="I103" s="232">
        <f t="shared" si="89"/>
        <v>843.5642013699999</v>
      </c>
      <c r="J103" s="232">
        <f t="shared" si="89"/>
        <v>927.9206215070001</v>
      </c>
      <c r="K103" s="232">
        <f t="shared" si="89"/>
        <v>1020.7126836577002</v>
      </c>
      <c r="L103" s="232">
        <f t="shared" si="89"/>
        <v>1122.7839520234702</v>
      </c>
      <c r="M103" s="232">
        <f t="shared" si="89"/>
        <v>1235.0623472258171</v>
      </c>
      <c r="N103" s="232">
        <f t="shared" si="89"/>
        <v>1358.5685819483988</v>
      </c>
      <c r="O103" s="232">
        <f t="shared" si="89"/>
        <v>1494.4254401432383</v>
      </c>
    </row>
    <row r="105" ht="18.75">
      <c r="L105" s="143" t="s">
        <v>584</v>
      </c>
    </row>
    <row r="106" spans="1:15" ht="15">
      <c r="A106" s="180" t="s">
        <v>522</v>
      </c>
      <c r="B106" s="174"/>
      <c r="C106" s="174"/>
      <c r="D106" s="174"/>
      <c r="E106" s="174"/>
      <c r="F106" s="174"/>
      <c r="G106" s="219"/>
      <c r="H106" s="219"/>
      <c r="I106" s="219"/>
      <c r="J106" s="174"/>
      <c r="K106" s="174"/>
      <c r="L106" s="174"/>
      <c r="M106" s="174"/>
      <c r="N106" s="174"/>
      <c r="O106" s="174"/>
    </row>
    <row r="107" spans="1:8" ht="15.75" thickBot="1">
      <c r="A107" s="372"/>
      <c r="B107" s="372"/>
      <c r="C107" s="372"/>
      <c r="D107" s="372"/>
      <c r="E107" s="372"/>
      <c r="F107" s="372"/>
      <c r="G107" s="372"/>
      <c r="H107" s="372"/>
    </row>
    <row r="108" spans="1:15" ht="19.5" thickBot="1">
      <c r="A108" s="388" t="s">
        <v>583</v>
      </c>
      <c r="B108" s="389"/>
      <c r="C108" s="389"/>
      <c r="D108" s="389"/>
      <c r="E108" s="389"/>
      <c r="F108" s="389"/>
      <c r="G108" s="389"/>
      <c r="H108" s="389"/>
      <c r="I108" s="389"/>
      <c r="J108" s="389"/>
      <c r="K108" s="389"/>
      <c r="L108" s="389"/>
      <c r="M108" s="389"/>
      <c r="N108" s="389"/>
      <c r="O108" s="390"/>
    </row>
    <row r="109" spans="1:15" ht="15.75" thickBot="1">
      <c r="A109" s="218"/>
      <c r="B109" s="217"/>
      <c r="C109" s="217"/>
      <c r="D109" s="217"/>
      <c r="E109" s="217"/>
      <c r="F109" s="217"/>
      <c r="G109" s="396" t="s">
        <v>481</v>
      </c>
      <c r="H109" s="396"/>
      <c r="I109" s="396" t="s">
        <v>507</v>
      </c>
      <c r="J109" s="396"/>
      <c r="K109" s="396"/>
      <c r="L109" s="396"/>
      <c r="M109" s="396"/>
      <c r="N109" s="396"/>
      <c r="O109" s="397"/>
    </row>
    <row r="110" spans="1:15" ht="15.75" thickBot="1">
      <c r="A110" s="216" t="s">
        <v>556</v>
      </c>
      <c r="B110" s="215" t="s">
        <v>506</v>
      </c>
      <c r="C110" s="214" t="s">
        <v>36</v>
      </c>
      <c r="D110" s="214" t="s">
        <v>35</v>
      </c>
      <c r="E110" s="214" t="s">
        <v>34</v>
      </c>
      <c r="F110" s="214" t="s">
        <v>33</v>
      </c>
      <c r="G110" s="214" t="s">
        <v>32</v>
      </c>
      <c r="H110" s="214" t="s">
        <v>31</v>
      </c>
      <c r="I110" s="214" t="s">
        <v>30</v>
      </c>
      <c r="J110" s="214" t="s">
        <v>29</v>
      </c>
      <c r="K110" s="213" t="s">
        <v>28</v>
      </c>
      <c r="L110" s="213" t="s">
        <v>27</v>
      </c>
      <c r="M110" s="213" t="s">
        <v>26</v>
      </c>
      <c r="N110" s="213" t="s">
        <v>25</v>
      </c>
      <c r="O110" s="212" t="s">
        <v>24</v>
      </c>
    </row>
    <row r="111" spans="1:15" ht="15">
      <c r="A111" s="211">
        <v>1</v>
      </c>
      <c r="B111" s="210" t="s">
        <v>554</v>
      </c>
      <c r="C111" s="231">
        <f aca="true" t="shared" si="90" ref="C111:O111">SUM(C112:C114)</f>
        <v>55.61</v>
      </c>
      <c r="D111" s="231">
        <f t="shared" si="90"/>
        <v>64.65</v>
      </c>
      <c r="E111" s="231">
        <f t="shared" si="90"/>
        <v>83.18</v>
      </c>
      <c r="F111" s="231">
        <f t="shared" si="90"/>
        <v>182.48</v>
      </c>
      <c r="G111" s="231">
        <f t="shared" si="90"/>
        <v>203.06</v>
      </c>
      <c r="H111" s="231">
        <f t="shared" si="90"/>
        <v>271.19</v>
      </c>
      <c r="I111" s="231">
        <f t="shared" si="90"/>
        <v>325.7</v>
      </c>
      <c r="J111" s="231">
        <f t="shared" si="90"/>
        <v>358.27000000000004</v>
      </c>
      <c r="K111" s="231">
        <f t="shared" si="90"/>
        <v>394.0970000000001</v>
      </c>
      <c r="L111" s="231">
        <f t="shared" si="90"/>
        <v>433.5067000000001</v>
      </c>
      <c r="M111" s="231">
        <f t="shared" si="90"/>
        <v>476.8573700000002</v>
      </c>
      <c r="N111" s="231">
        <f t="shared" si="90"/>
        <v>524.5431070000002</v>
      </c>
      <c r="O111" s="231">
        <f t="shared" si="90"/>
        <v>576.9974177000004</v>
      </c>
    </row>
    <row r="112" spans="1:15" ht="30">
      <c r="A112" s="206"/>
      <c r="B112" s="177" t="s">
        <v>553</v>
      </c>
      <c r="C112" s="230">
        <f>55.61-2.15</f>
        <v>53.46</v>
      </c>
      <c r="D112" s="223">
        <f>64.65</f>
        <v>64.65</v>
      </c>
      <c r="E112" s="223">
        <f>83.18</f>
        <v>83.18</v>
      </c>
      <c r="F112" s="223">
        <f>100.06+21.59+59.55</f>
        <v>181.2</v>
      </c>
      <c r="G112" s="223">
        <f>95.47+36.77+70.82</f>
        <v>203.06</v>
      </c>
      <c r="H112" s="223">
        <f>136.44-4.8+41.87+90.43</f>
        <v>263.94</v>
      </c>
      <c r="I112" s="223">
        <f>163.73-5.76+46.48+112.75</f>
        <v>317.2</v>
      </c>
      <c r="J112" s="222">
        <f aca="true" t="shared" si="91" ref="J112:O113">I112*110%</f>
        <v>348.92</v>
      </c>
      <c r="K112" s="222">
        <f t="shared" si="91"/>
        <v>383.81200000000007</v>
      </c>
      <c r="L112" s="222">
        <f t="shared" si="91"/>
        <v>422.1932000000001</v>
      </c>
      <c r="M112" s="222">
        <f t="shared" si="91"/>
        <v>464.41252000000014</v>
      </c>
      <c r="N112" s="222">
        <f t="shared" si="91"/>
        <v>510.8537720000002</v>
      </c>
      <c r="O112" s="221">
        <f t="shared" si="91"/>
        <v>561.9391492000003</v>
      </c>
    </row>
    <row r="113" spans="1:15" ht="15">
      <c r="A113" s="206"/>
      <c r="B113" s="178" t="s">
        <v>552</v>
      </c>
      <c r="C113" s="229">
        <f>2.15</f>
        <v>2.15</v>
      </c>
      <c r="D113" s="223"/>
      <c r="E113" s="223"/>
      <c r="F113" s="223">
        <f>0.6+0.68</f>
        <v>1.28</v>
      </c>
      <c r="G113" s="223"/>
      <c r="H113" s="223">
        <f>4.8+0.95+1.5</f>
        <v>7.25</v>
      </c>
      <c r="I113" s="223">
        <f>5.76+1.09+1.65</f>
        <v>8.5</v>
      </c>
      <c r="J113" s="222">
        <f t="shared" si="91"/>
        <v>9.350000000000001</v>
      </c>
      <c r="K113" s="222">
        <f t="shared" si="91"/>
        <v>10.285000000000002</v>
      </c>
      <c r="L113" s="222">
        <f t="shared" si="91"/>
        <v>11.313500000000003</v>
      </c>
      <c r="M113" s="222">
        <f t="shared" si="91"/>
        <v>12.444850000000004</v>
      </c>
      <c r="N113" s="222">
        <f t="shared" si="91"/>
        <v>13.689335000000005</v>
      </c>
      <c r="O113" s="221">
        <f t="shared" si="91"/>
        <v>15.058268500000008</v>
      </c>
    </row>
    <row r="114" spans="1:15" ht="15">
      <c r="A114" s="200"/>
      <c r="B114" s="177" t="s">
        <v>561</v>
      </c>
      <c r="C114" s="227"/>
      <c r="D114" s="227"/>
      <c r="E114" s="227"/>
      <c r="F114" s="227"/>
      <c r="G114" s="228"/>
      <c r="H114" s="228"/>
      <c r="I114" s="228"/>
      <c r="J114" s="227"/>
      <c r="K114" s="227"/>
      <c r="L114" s="227"/>
      <c r="M114" s="227"/>
      <c r="N114" s="227"/>
      <c r="O114" s="226"/>
    </row>
    <row r="115" spans="1:15" ht="15">
      <c r="A115" s="200">
        <v>2</v>
      </c>
      <c r="B115" s="129" t="s">
        <v>549</v>
      </c>
      <c r="C115" s="224">
        <f aca="true" t="shared" si="92" ref="C115:O115">SUM(C116:C125)</f>
        <v>3.3</v>
      </c>
      <c r="D115" s="224">
        <f t="shared" si="92"/>
        <v>4.08</v>
      </c>
      <c r="E115" s="224">
        <f t="shared" si="92"/>
        <v>3.42</v>
      </c>
      <c r="F115" s="224">
        <f t="shared" si="92"/>
        <v>24.810000000000002</v>
      </c>
      <c r="G115" s="224">
        <f t="shared" si="92"/>
        <v>23.189999999999998</v>
      </c>
      <c r="H115" s="224">
        <f t="shared" si="92"/>
        <v>62.559999999999995</v>
      </c>
      <c r="I115" s="224">
        <f t="shared" si="92"/>
        <v>51.089999999999996</v>
      </c>
      <c r="J115" s="224">
        <f t="shared" si="92"/>
        <v>63.809</v>
      </c>
      <c r="K115" s="224">
        <f t="shared" si="92"/>
        <v>70.1899</v>
      </c>
      <c r="L115" s="224">
        <f t="shared" si="92"/>
        <v>77.20889000000001</v>
      </c>
      <c r="M115" s="224">
        <f t="shared" si="92"/>
        <v>84.92977900000002</v>
      </c>
      <c r="N115" s="224">
        <f t="shared" si="92"/>
        <v>93.42275690000002</v>
      </c>
      <c r="O115" s="224">
        <f t="shared" si="92"/>
        <v>102.76503259000003</v>
      </c>
    </row>
    <row r="116" spans="1:15" ht="15">
      <c r="A116" s="200"/>
      <c r="B116" s="129" t="s">
        <v>544</v>
      </c>
      <c r="C116" s="223">
        <v>0</v>
      </c>
      <c r="D116" s="223">
        <f>0.06</f>
        <v>0.06</v>
      </c>
      <c r="E116" s="223">
        <f>0.11</f>
        <v>0.11</v>
      </c>
      <c r="F116" s="223">
        <f>0.13</f>
        <v>0.13</v>
      </c>
      <c r="G116" s="223">
        <v>0</v>
      </c>
      <c r="H116" s="223">
        <v>0</v>
      </c>
      <c r="I116" s="228">
        <v>0</v>
      </c>
      <c r="J116" s="227">
        <v>0</v>
      </c>
      <c r="K116" s="227">
        <v>0</v>
      </c>
      <c r="L116" s="227">
        <v>0</v>
      </c>
      <c r="M116" s="227">
        <v>0</v>
      </c>
      <c r="N116" s="227">
        <v>0</v>
      </c>
      <c r="O116" s="226">
        <v>0</v>
      </c>
    </row>
    <row r="117" spans="1:15" ht="15">
      <c r="A117" s="200"/>
      <c r="B117" s="129" t="s">
        <v>543</v>
      </c>
      <c r="C117" s="223">
        <f>0.2</f>
        <v>0.2</v>
      </c>
      <c r="D117" s="223">
        <v>0</v>
      </c>
      <c r="E117" s="223">
        <v>0</v>
      </c>
      <c r="F117" s="223">
        <f>0.2+1</f>
        <v>1.2</v>
      </c>
      <c r="G117" s="223">
        <f>1.11+0.39+0.5</f>
        <v>2</v>
      </c>
      <c r="H117" s="223">
        <f>1.8+0.47+3</f>
        <v>5.27</v>
      </c>
      <c r="I117" s="223">
        <f>2.16+0.54+3.75</f>
        <v>6.45</v>
      </c>
      <c r="J117" s="222">
        <f aca="true" t="shared" si="93" ref="J117:O117">I117*110%</f>
        <v>7.095000000000001</v>
      </c>
      <c r="K117" s="222">
        <f t="shared" si="93"/>
        <v>7.804500000000002</v>
      </c>
      <c r="L117" s="222">
        <f t="shared" si="93"/>
        <v>8.584950000000003</v>
      </c>
      <c r="M117" s="222">
        <f t="shared" si="93"/>
        <v>9.443445000000004</v>
      </c>
      <c r="N117" s="222">
        <f t="shared" si="93"/>
        <v>10.387789500000006</v>
      </c>
      <c r="O117" s="221">
        <f t="shared" si="93"/>
        <v>11.426568450000007</v>
      </c>
    </row>
    <row r="118" spans="1:15" ht="15">
      <c r="A118" s="200"/>
      <c r="B118" s="129" t="s">
        <v>542</v>
      </c>
      <c r="C118" s="227"/>
      <c r="D118" s="227"/>
      <c r="E118" s="227"/>
      <c r="F118" s="227"/>
      <c r="G118" s="228"/>
      <c r="H118" s="228"/>
      <c r="I118" s="228"/>
      <c r="J118" s="227"/>
      <c r="K118" s="227"/>
      <c r="L118" s="227"/>
      <c r="M118" s="227"/>
      <c r="N118" s="227"/>
      <c r="O118" s="226"/>
    </row>
    <row r="119" spans="1:15" ht="15">
      <c r="A119" s="200"/>
      <c r="B119" s="129" t="s">
        <v>541</v>
      </c>
      <c r="C119" s="227"/>
      <c r="D119" s="227"/>
      <c r="E119" s="227"/>
      <c r="F119" s="227"/>
      <c r="G119" s="228"/>
      <c r="H119" s="228"/>
      <c r="I119" s="228"/>
      <c r="J119" s="227"/>
      <c r="K119" s="227"/>
      <c r="L119" s="227"/>
      <c r="M119" s="227"/>
      <c r="N119" s="227"/>
      <c r="O119" s="226"/>
    </row>
    <row r="120" spans="1:15" ht="15">
      <c r="A120" s="200"/>
      <c r="B120" s="129" t="s">
        <v>548</v>
      </c>
      <c r="C120" s="227"/>
      <c r="D120" s="227"/>
      <c r="E120" s="227"/>
      <c r="F120" s="227"/>
      <c r="G120" s="228"/>
      <c r="H120" s="228"/>
      <c r="I120" s="228"/>
      <c r="J120" s="227"/>
      <c r="K120" s="227"/>
      <c r="L120" s="227"/>
      <c r="M120" s="227"/>
      <c r="N120" s="227"/>
      <c r="O120" s="226"/>
    </row>
    <row r="121" spans="1:15" ht="32.25" customHeight="1">
      <c r="A121" s="200"/>
      <c r="B121" s="132" t="s">
        <v>560</v>
      </c>
      <c r="C121" s="223">
        <v>0</v>
      </c>
      <c r="D121" s="223">
        <v>0</v>
      </c>
      <c r="E121" s="223">
        <v>0</v>
      </c>
      <c r="F121" s="223">
        <f>4.24</f>
        <v>4.24</v>
      </c>
      <c r="G121" s="228">
        <f>1.22</f>
        <v>1.22</v>
      </c>
      <c r="H121" s="228"/>
      <c r="I121" s="228"/>
      <c r="J121" s="222">
        <f>1.34+I121*110%</f>
        <v>1.34</v>
      </c>
      <c r="K121" s="222">
        <f aca="true" t="shared" si="94" ref="K121:O125">J121*110%</f>
        <v>1.4740000000000002</v>
      </c>
      <c r="L121" s="222">
        <f t="shared" si="94"/>
        <v>1.6214000000000004</v>
      </c>
      <c r="M121" s="222">
        <f t="shared" si="94"/>
        <v>1.7835400000000006</v>
      </c>
      <c r="N121" s="222">
        <f t="shared" si="94"/>
        <v>1.9618940000000007</v>
      </c>
      <c r="O121" s="221">
        <f t="shared" si="94"/>
        <v>2.158083400000001</v>
      </c>
    </row>
    <row r="122" spans="1:15" ht="15">
      <c r="A122" s="203"/>
      <c r="B122" s="132" t="s">
        <v>580</v>
      </c>
      <c r="C122" s="223">
        <f>1.82</f>
        <v>1.82</v>
      </c>
      <c r="D122" s="223">
        <f>3.97</f>
        <v>3.97</v>
      </c>
      <c r="E122" s="223">
        <f>3.31</f>
        <v>3.31</v>
      </c>
      <c r="F122" s="223">
        <f>13.91+2</f>
        <v>15.91</v>
      </c>
      <c r="G122" s="223">
        <f>9.3+4.79+1.11</f>
        <v>15.2</v>
      </c>
      <c r="H122" s="223">
        <f>13+4.51+4.16</f>
        <v>21.669999999999998</v>
      </c>
      <c r="I122" s="223">
        <f>15.6+5.19+2.33</f>
        <v>23.119999999999997</v>
      </c>
      <c r="J122" s="222">
        <f>I122*110%</f>
        <v>25.432</v>
      </c>
      <c r="K122" s="222">
        <f t="shared" si="94"/>
        <v>27.9752</v>
      </c>
      <c r="L122" s="222">
        <f t="shared" si="94"/>
        <v>30.772720000000003</v>
      </c>
      <c r="M122" s="222">
        <f t="shared" si="94"/>
        <v>33.84999200000001</v>
      </c>
      <c r="N122" s="222">
        <f t="shared" si="94"/>
        <v>37.23499120000001</v>
      </c>
      <c r="O122" s="221">
        <f t="shared" si="94"/>
        <v>40.95849032000002</v>
      </c>
    </row>
    <row r="123" spans="1:15" ht="15">
      <c r="A123" s="203"/>
      <c r="B123" s="132" t="s">
        <v>579</v>
      </c>
      <c r="C123" s="223"/>
      <c r="D123" s="223"/>
      <c r="E123" s="223"/>
      <c r="F123" s="223"/>
      <c r="G123" s="223"/>
      <c r="H123" s="223"/>
      <c r="I123" s="223"/>
      <c r="J123" s="222">
        <f>I123*110%</f>
        <v>0</v>
      </c>
      <c r="K123" s="222">
        <f t="shared" si="94"/>
        <v>0</v>
      </c>
      <c r="L123" s="222">
        <f t="shared" si="94"/>
        <v>0</v>
      </c>
      <c r="M123" s="222">
        <f t="shared" si="94"/>
        <v>0</v>
      </c>
      <c r="N123" s="222">
        <f t="shared" si="94"/>
        <v>0</v>
      </c>
      <c r="O123" s="221">
        <f t="shared" si="94"/>
        <v>0</v>
      </c>
    </row>
    <row r="124" spans="1:15" ht="15">
      <c r="A124" s="203"/>
      <c r="B124" s="132" t="s">
        <v>578</v>
      </c>
      <c r="C124" s="223">
        <v>0</v>
      </c>
      <c r="D124" s="223">
        <v>0</v>
      </c>
      <c r="E124" s="223">
        <v>0</v>
      </c>
      <c r="F124" s="223">
        <f>1.1</f>
        <v>1.1</v>
      </c>
      <c r="G124" s="223">
        <f>0.52+0.8</f>
        <v>1.32</v>
      </c>
      <c r="H124" s="223">
        <f>5.6+4.9</f>
        <v>10.5</v>
      </c>
      <c r="I124" s="223">
        <f>6.72</f>
        <v>6.72</v>
      </c>
      <c r="J124" s="222">
        <f>0.88+5.39+I124*110%</f>
        <v>13.661999999999999</v>
      </c>
      <c r="K124" s="222">
        <f t="shared" si="94"/>
        <v>15.0282</v>
      </c>
      <c r="L124" s="222">
        <f t="shared" si="94"/>
        <v>16.53102</v>
      </c>
      <c r="M124" s="222">
        <f t="shared" si="94"/>
        <v>18.184122000000002</v>
      </c>
      <c r="N124" s="222">
        <f t="shared" si="94"/>
        <v>20.002534200000003</v>
      </c>
      <c r="O124" s="221">
        <f t="shared" si="94"/>
        <v>22.002787620000007</v>
      </c>
    </row>
    <row r="125" spans="1:15" ht="30">
      <c r="A125" s="203"/>
      <c r="B125" s="132" t="s">
        <v>577</v>
      </c>
      <c r="C125" s="223">
        <f>1.28</f>
        <v>1.28</v>
      </c>
      <c r="D125" s="223">
        <f>0.05</f>
        <v>0.05</v>
      </c>
      <c r="E125" s="223">
        <v>0</v>
      </c>
      <c r="F125" s="223">
        <f>2.23</f>
        <v>2.23</v>
      </c>
      <c r="G125" s="223">
        <f>2.85+0.6</f>
        <v>3.45</v>
      </c>
      <c r="H125" s="223">
        <f>2.37+9.2+3.85+9.7</f>
        <v>25.119999999999997</v>
      </c>
      <c r="I125" s="223">
        <f>2.82+11.04+0.94</f>
        <v>14.799999999999999</v>
      </c>
      <c r="J125" s="222">
        <f>I125*110%</f>
        <v>16.28</v>
      </c>
      <c r="K125" s="222">
        <f t="shared" si="94"/>
        <v>17.908</v>
      </c>
      <c r="L125" s="222">
        <f t="shared" si="94"/>
        <v>19.698800000000002</v>
      </c>
      <c r="M125" s="222">
        <f t="shared" si="94"/>
        <v>21.668680000000005</v>
      </c>
      <c r="N125" s="222">
        <f t="shared" si="94"/>
        <v>23.835548000000006</v>
      </c>
      <c r="O125" s="221">
        <f t="shared" si="94"/>
        <v>26.21910280000001</v>
      </c>
    </row>
    <row r="126" spans="1:15" ht="15">
      <c r="A126" s="195">
        <v>3</v>
      </c>
      <c r="B126" s="175" t="s">
        <v>545</v>
      </c>
      <c r="C126" s="224">
        <f aca="true" t="shared" si="95" ref="C126:O126">SUM(C127:C133)</f>
        <v>1.55</v>
      </c>
      <c r="D126" s="224">
        <f t="shared" si="95"/>
        <v>7.9</v>
      </c>
      <c r="E126" s="224">
        <f t="shared" si="95"/>
        <v>4.14</v>
      </c>
      <c r="F126" s="224">
        <f t="shared" si="95"/>
        <v>22.02</v>
      </c>
      <c r="G126" s="224">
        <f t="shared" si="95"/>
        <v>17.45</v>
      </c>
      <c r="H126" s="224">
        <f t="shared" si="95"/>
        <v>55.1</v>
      </c>
      <c r="I126" s="224">
        <f t="shared" si="95"/>
        <v>32.43</v>
      </c>
      <c r="J126" s="224">
        <f t="shared" si="95"/>
        <v>35.673</v>
      </c>
      <c r="K126" s="224">
        <f t="shared" si="95"/>
        <v>39.240300000000005</v>
      </c>
      <c r="L126" s="224">
        <f t="shared" si="95"/>
        <v>43.16433000000001</v>
      </c>
      <c r="M126" s="224">
        <f t="shared" si="95"/>
        <v>47.48076300000002</v>
      </c>
      <c r="N126" s="224">
        <f t="shared" si="95"/>
        <v>52.228839300000026</v>
      </c>
      <c r="O126" s="224">
        <f t="shared" si="95"/>
        <v>57.45172323000003</v>
      </c>
    </row>
    <row r="127" spans="1:15" ht="15">
      <c r="A127" s="195"/>
      <c r="B127" s="129" t="s">
        <v>544</v>
      </c>
      <c r="C127" s="223">
        <v>0</v>
      </c>
      <c r="D127" s="223">
        <v>0</v>
      </c>
      <c r="E127" s="223">
        <v>0</v>
      </c>
      <c r="F127" s="223">
        <v>0</v>
      </c>
      <c r="G127" s="223">
        <v>0</v>
      </c>
      <c r="H127" s="223"/>
      <c r="I127" s="223"/>
      <c r="J127" s="222">
        <f aca="true" t="shared" si="96" ref="J127:O133">I127*110%</f>
        <v>0</v>
      </c>
      <c r="K127" s="222">
        <f t="shared" si="96"/>
        <v>0</v>
      </c>
      <c r="L127" s="222">
        <f t="shared" si="96"/>
        <v>0</v>
      </c>
      <c r="M127" s="222">
        <f t="shared" si="96"/>
        <v>0</v>
      </c>
      <c r="N127" s="222">
        <f t="shared" si="96"/>
        <v>0</v>
      </c>
      <c r="O127" s="221">
        <f t="shared" si="96"/>
        <v>0</v>
      </c>
    </row>
    <row r="128" spans="1:15" ht="15">
      <c r="A128" s="195"/>
      <c r="B128" s="129" t="s">
        <v>576</v>
      </c>
      <c r="C128" s="223">
        <v>0</v>
      </c>
      <c r="D128" s="223">
        <v>0</v>
      </c>
      <c r="E128" s="223">
        <v>0</v>
      </c>
      <c r="F128" s="223">
        <f>4.76</f>
        <v>4.76</v>
      </c>
      <c r="G128" s="223">
        <f>0.97+6.33</f>
        <v>7.3</v>
      </c>
      <c r="H128" s="223">
        <f>2.5+3.8</f>
        <v>6.3</v>
      </c>
      <c r="I128" s="223">
        <f>2.75+3</f>
        <v>5.75</v>
      </c>
      <c r="J128" s="222">
        <f t="shared" si="96"/>
        <v>6.325</v>
      </c>
      <c r="K128" s="222">
        <f t="shared" si="96"/>
        <v>6.9575000000000005</v>
      </c>
      <c r="L128" s="222">
        <f t="shared" si="96"/>
        <v>7.653250000000001</v>
      </c>
      <c r="M128" s="222">
        <f t="shared" si="96"/>
        <v>8.418575000000002</v>
      </c>
      <c r="N128" s="222">
        <f t="shared" si="96"/>
        <v>9.260432500000004</v>
      </c>
      <c r="O128" s="221">
        <f t="shared" si="96"/>
        <v>10.186475750000005</v>
      </c>
    </row>
    <row r="129" spans="1:15" ht="15">
      <c r="A129" s="195"/>
      <c r="B129" s="129" t="s">
        <v>575</v>
      </c>
      <c r="C129" s="223">
        <v>0</v>
      </c>
      <c r="D129" s="223">
        <v>0</v>
      </c>
      <c r="E129" s="223">
        <v>0</v>
      </c>
      <c r="F129" s="223">
        <f>1.39+0.15</f>
        <v>1.5399999999999998</v>
      </c>
      <c r="G129" s="223">
        <v>0</v>
      </c>
      <c r="H129" s="223">
        <f>3+0.9</f>
        <v>3.9</v>
      </c>
      <c r="I129" s="223">
        <f>3.3+0.95</f>
        <v>4.25</v>
      </c>
      <c r="J129" s="222">
        <f t="shared" si="96"/>
        <v>4.675000000000001</v>
      </c>
      <c r="K129" s="222">
        <f t="shared" si="96"/>
        <v>5.142500000000001</v>
      </c>
      <c r="L129" s="222">
        <f t="shared" si="96"/>
        <v>5.6567500000000015</v>
      </c>
      <c r="M129" s="222">
        <f t="shared" si="96"/>
        <v>6.222425000000002</v>
      </c>
      <c r="N129" s="222">
        <f t="shared" si="96"/>
        <v>6.844667500000003</v>
      </c>
      <c r="O129" s="221">
        <f t="shared" si="96"/>
        <v>7.529134250000004</v>
      </c>
    </row>
    <row r="130" spans="1:15" ht="15">
      <c r="A130" s="195"/>
      <c r="B130" s="129" t="s">
        <v>574</v>
      </c>
      <c r="C130" s="223">
        <v>0</v>
      </c>
      <c r="D130" s="223">
        <v>0</v>
      </c>
      <c r="E130" s="223">
        <v>0</v>
      </c>
      <c r="F130" s="223">
        <f>3.6</f>
        <v>3.6</v>
      </c>
      <c r="G130" s="223">
        <v>0</v>
      </c>
      <c r="H130" s="223">
        <f>5.25+3.3</f>
        <v>8.55</v>
      </c>
      <c r="I130" s="223">
        <f>5.78+1</f>
        <v>6.78</v>
      </c>
      <c r="J130" s="222">
        <f t="shared" si="96"/>
        <v>7.458000000000001</v>
      </c>
      <c r="K130" s="222">
        <f t="shared" si="96"/>
        <v>8.203800000000001</v>
      </c>
      <c r="L130" s="222">
        <f t="shared" si="96"/>
        <v>9.024180000000001</v>
      </c>
      <c r="M130" s="222">
        <f t="shared" si="96"/>
        <v>9.926598000000002</v>
      </c>
      <c r="N130" s="222">
        <f t="shared" si="96"/>
        <v>10.919257800000002</v>
      </c>
      <c r="O130" s="221">
        <f t="shared" si="96"/>
        <v>12.011183580000003</v>
      </c>
    </row>
    <row r="131" spans="1:15" ht="15">
      <c r="A131" s="195"/>
      <c r="B131" s="129" t="s">
        <v>573</v>
      </c>
      <c r="C131" s="223">
        <v>0</v>
      </c>
      <c r="D131" s="223">
        <v>0</v>
      </c>
      <c r="E131" s="223">
        <v>0</v>
      </c>
      <c r="F131" s="223">
        <v>0</v>
      </c>
      <c r="G131" s="223">
        <v>0</v>
      </c>
      <c r="H131" s="223"/>
      <c r="I131" s="223"/>
      <c r="J131" s="222">
        <f t="shared" si="96"/>
        <v>0</v>
      </c>
      <c r="K131" s="222">
        <f t="shared" si="96"/>
        <v>0</v>
      </c>
      <c r="L131" s="222">
        <f t="shared" si="96"/>
        <v>0</v>
      </c>
      <c r="M131" s="222">
        <f t="shared" si="96"/>
        <v>0</v>
      </c>
      <c r="N131" s="222">
        <f t="shared" si="96"/>
        <v>0</v>
      </c>
      <c r="O131" s="221">
        <f t="shared" si="96"/>
        <v>0</v>
      </c>
    </row>
    <row r="132" spans="1:15" ht="15">
      <c r="A132" s="195"/>
      <c r="B132" s="129" t="s">
        <v>572</v>
      </c>
      <c r="C132" s="223">
        <v>0</v>
      </c>
      <c r="D132" s="223">
        <v>0</v>
      </c>
      <c r="E132" s="223">
        <v>0</v>
      </c>
      <c r="F132" s="223">
        <v>0</v>
      </c>
      <c r="G132" s="223">
        <v>0</v>
      </c>
      <c r="H132" s="223"/>
      <c r="I132" s="223"/>
      <c r="J132" s="222">
        <f t="shared" si="96"/>
        <v>0</v>
      </c>
      <c r="K132" s="222">
        <f t="shared" si="96"/>
        <v>0</v>
      </c>
      <c r="L132" s="222">
        <f t="shared" si="96"/>
        <v>0</v>
      </c>
      <c r="M132" s="222">
        <f t="shared" si="96"/>
        <v>0</v>
      </c>
      <c r="N132" s="222">
        <f t="shared" si="96"/>
        <v>0</v>
      </c>
      <c r="O132" s="221">
        <f t="shared" si="96"/>
        <v>0</v>
      </c>
    </row>
    <row r="133" spans="1:15" ht="15">
      <c r="A133" s="195"/>
      <c r="B133" s="129" t="s">
        <v>571</v>
      </c>
      <c r="C133" s="223">
        <f>1.55</f>
        <v>1.55</v>
      </c>
      <c r="D133" s="223">
        <f>7.9</f>
        <v>7.9</v>
      </c>
      <c r="E133" s="223">
        <f>4.14</f>
        <v>4.14</v>
      </c>
      <c r="F133" s="223">
        <f>12.12</f>
        <v>12.12</v>
      </c>
      <c r="G133" s="223">
        <f>1.4+8.28+0.47</f>
        <v>10.15</v>
      </c>
      <c r="H133" s="223">
        <f>26.8+9.55</f>
        <v>36.35</v>
      </c>
      <c r="I133" s="223">
        <f>14.13+1.52</f>
        <v>15.65</v>
      </c>
      <c r="J133" s="222">
        <f t="shared" si="96"/>
        <v>17.215000000000003</v>
      </c>
      <c r="K133" s="222">
        <f t="shared" si="96"/>
        <v>18.936500000000006</v>
      </c>
      <c r="L133" s="222">
        <f t="shared" si="96"/>
        <v>20.830150000000007</v>
      </c>
      <c r="M133" s="222">
        <f t="shared" si="96"/>
        <v>22.91316500000001</v>
      </c>
      <c r="N133" s="222">
        <f t="shared" si="96"/>
        <v>25.204481500000014</v>
      </c>
      <c r="O133" s="221">
        <f t="shared" si="96"/>
        <v>27.724929650000018</v>
      </c>
    </row>
    <row r="134" spans="1:15" ht="30">
      <c r="A134" s="200">
        <v>4</v>
      </c>
      <c r="B134" s="177" t="s">
        <v>539</v>
      </c>
      <c r="C134" s="227"/>
      <c r="D134" s="227"/>
      <c r="E134" s="227"/>
      <c r="F134" s="227"/>
      <c r="G134" s="228"/>
      <c r="H134" s="228"/>
      <c r="I134" s="228"/>
      <c r="J134" s="227"/>
      <c r="K134" s="227"/>
      <c r="L134" s="227"/>
      <c r="M134" s="227"/>
      <c r="N134" s="227"/>
      <c r="O134" s="226"/>
    </row>
    <row r="135" spans="1:15" ht="21" customHeight="1">
      <c r="A135" s="200"/>
      <c r="B135" s="177" t="s">
        <v>538</v>
      </c>
      <c r="C135" s="223">
        <v>0</v>
      </c>
      <c r="D135" s="223">
        <v>0</v>
      </c>
      <c r="E135" s="223">
        <v>0</v>
      </c>
      <c r="F135" s="223">
        <v>0</v>
      </c>
      <c r="G135" s="223">
        <v>0</v>
      </c>
      <c r="H135" s="223"/>
      <c r="I135" s="223"/>
      <c r="J135" s="223">
        <v>0</v>
      </c>
      <c r="K135" s="223">
        <v>0</v>
      </c>
      <c r="L135" s="223">
        <v>0</v>
      </c>
      <c r="M135" s="223">
        <v>0</v>
      </c>
      <c r="N135" s="223">
        <v>0</v>
      </c>
      <c r="O135" s="225">
        <v>0</v>
      </c>
    </row>
    <row r="136" spans="1:15" ht="15">
      <c r="A136" s="195"/>
      <c r="B136" s="175" t="s">
        <v>537</v>
      </c>
      <c r="C136" s="223">
        <v>0</v>
      </c>
      <c r="D136" s="223">
        <v>0</v>
      </c>
      <c r="E136" s="223">
        <v>0</v>
      </c>
      <c r="F136" s="223">
        <v>0</v>
      </c>
      <c r="G136" s="223">
        <v>0</v>
      </c>
      <c r="H136" s="223"/>
      <c r="I136" s="223"/>
      <c r="J136" s="223">
        <v>0</v>
      </c>
      <c r="K136" s="223">
        <v>0</v>
      </c>
      <c r="L136" s="223">
        <v>0</v>
      </c>
      <c r="M136" s="223">
        <v>0</v>
      </c>
      <c r="N136" s="223">
        <v>0</v>
      </c>
      <c r="O136" s="225">
        <v>0</v>
      </c>
    </row>
    <row r="137" spans="1:15" ht="15">
      <c r="A137" s="195"/>
      <c r="B137" s="175" t="s">
        <v>536</v>
      </c>
      <c r="C137" s="223">
        <v>0</v>
      </c>
      <c r="D137" s="223">
        <v>0</v>
      </c>
      <c r="E137" s="223">
        <v>0</v>
      </c>
      <c r="F137" s="223">
        <v>0</v>
      </c>
      <c r="G137" s="223">
        <v>0</v>
      </c>
      <c r="H137" s="223"/>
      <c r="I137" s="223"/>
      <c r="J137" s="223">
        <v>0</v>
      </c>
      <c r="K137" s="223">
        <v>0</v>
      </c>
      <c r="L137" s="223">
        <v>0</v>
      </c>
      <c r="M137" s="223">
        <v>0</v>
      </c>
      <c r="N137" s="223">
        <v>0</v>
      </c>
      <c r="O137" s="225">
        <v>0</v>
      </c>
    </row>
    <row r="138" spans="1:15" ht="45">
      <c r="A138" s="195"/>
      <c r="B138" s="177" t="s">
        <v>535</v>
      </c>
      <c r="C138" s="223">
        <v>0</v>
      </c>
      <c r="D138" s="223">
        <v>0</v>
      </c>
      <c r="E138" s="223">
        <v>0</v>
      </c>
      <c r="F138" s="223">
        <v>0</v>
      </c>
      <c r="G138" s="223">
        <v>0</v>
      </c>
      <c r="H138" s="223"/>
      <c r="I138" s="223"/>
      <c r="J138" s="223">
        <v>0</v>
      </c>
      <c r="K138" s="223">
        <v>0</v>
      </c>
      <c r="L138" s="223">
        <v>0</v>
      </c>
      <c r="M138" s="223">
        <v>0</v>
      </c>
      <c r="N138" s="223">
        <v>0</v>
      </c>
      <c r="O138" s="225">
        <v>0</v>
      </c>
    </row>
    <row r="139" spans="1:15" ht="15">
      <c r="A139" s="195">
        <v>5</v>
      </c>
      <c r="B139" s="175" t="s">
        <v>534</v>
      </c>
      <c r="C139" s="224">
        <f aca="true" t="shared" si="97" ref="C139:O139">SUM(C140:C143)</f>
        <v>12.329999999999998</v>
      </c>
      <c r="D139" s="224">
        <f t="shared" si="97"/>
        <v>10.8</v>
      </c>
      <c r="E139" s="224">
        <f t="shared" si="97"/>
        <v>8.84</v>
      </c>
      <c r="F139" s="224">
        <f t="shared" si="97"/>
        <v>44.22</v>
      </c>
      <c r="G139" s="224">
        <f t="shared" si="97"/>
        <v>66.77</v>
      </c>
      <c r="H139" s="224">
        <f t="shared" si="97"/>
        <v>112.30000000000001</v>
      </c>
      <c r="I139" s="224">
        <f t="shared" si="97"/>
        <v>135.798</v>
      </c>
      <c r="J139" s="224">
        <f t="shared" si="97"/>
        <v>149.3778</v>
      </c>
      <c r="K139" s="224">
        <f t="shared" si="97"/>
        <v>164.31558</v>
      </c>
      <c r="L139" s="224">
        <f t="shared" si="97"/>
        <v>180.74713800000004</v>
      </c>
      <c r="M139" s="224">
        <f t="shared" si="97"/>
        <v>198.82185180000005</v>
      </c>
      <c r="N139" s="224">
        <f t="shared" si="97"/>
        <v>218.70403698000007</v>
      </c>
      <c r="O139" s="224">
        <f t="shared" si="97"/>
        <v>240.57444067800012</v>
      </c>
    </row>
    <row r="140" spans="1:15" ht="15">
      <c r="A140" s="195"/>
      <c r="B140" s="196" t="s">
        <v>570</v>
      </c>
      <c r="C140" s="223">
        <f>8.54+0.06+0.19+0.25</f>
        <v>9.04</v>
      </c>
      <c r="D140" s="223">
        <f>9.98+0.22</f>
        <v>10.200000000000001</v>
      </c>
      <c r="E140" s="223">
        <f>8.74+0.03</f>
        <v>8.77</v>
      </c>
      <c r="F140" s="223">
        <f>20.71+1.05+7.07+7.17</f>
        <v>36</v>
      </c>
      <c r="G140" s="223">
        <f>16.57+6.29+25.18</f>
        <v>48.04</v>
      </c>
      <c r="H140" s="223">
        <f>16.07+6.62+5.38+33.49</f>
        <v>61.56</v>
      </c>
      <c r="I140" s="223">
        <f>19.3+0.3+7.59+5.91+41.75</f>
        <v>74.85</v>
      </c>
      <c r="J140" s="222">
        <f aca="true" t="shared" si="98" ref="J140:O143">I140*110%</f>
        <v>82.335</v>
      </c>
      <c r="K140" s="222">
        <f t="shared" si="98"/>
        <v>90.5685</v>
      </c>
      <c r="L140" s="222">
        <f t="shared" si="98"/>
        <v>99.62535000000001</v>
      </c>
      <c r="M140" s="222">
        <f t="shared" si="98"/>
        <v>109.58788500000003</v>
      </c>
      <c r="N140" s="222">
        <f t="shared" si="98"/>
        <v>120.54667350000004</v>
      </c>
      <c r="O140" s="221">
        <f t="shared" si="98"/>
        <v>132.60134085000004</v>
      </c>
    </row>
    <row r="141" spans="1:15" ht="15">
      <c r="A141" s="195"/>
      <c r="B141" s="175" t="s">
        <v>569</v>
      </c>
      <c r="C141" s="223">
        <f>0.43+1.82+0.42</f>
        <v>2.67</v>
      </c>
      <c r="D141" s="223">
        <f>0.6</f>
        <v>0.6</v>
      </c>
      <c r="E141" s="223">
        <f>0.07</f>
        <v>0.07</v>
      </c>
      <c r="F141" s="223">
        <f>1.18+4.05+1.77</f>
        <v>7</v>
      </c>
      <c r="G141" s="223">
        <f>14.96-13.78+6.24+5.58</f>
        <v>13.000000000000002</v>
      </c>
      <c r="H141" s="223">
        <f>19.25+14.89-4.98+8.08</f>
        <v>37.24</v>
      </c>
      <c r="I141" s="223">
        <f>24.79+17.13-5.73+8.71</f>
        <v>44.9</v>
      </c>
      <c r="J141" s="222">
        <f t="shared" si="98"/>
        <v>49.39</v>
      </c>
      <c r="K141" s="222">
        <f t="shared" si="98"/>
        <v>54.32900000000001</v>
      </c>
      <c r="L141" s="222">
        <f t="shared" si="98"/>
        <v>59.76190000000001</v>
      </c>
      <c r="M141" s="222">
        <f t="shared" si="98"/>
        <v>65.73809000000001</v>
      </c>
      <c r="N141" s="222">
        <f t="shared" si="98"/>
        <v>72.31189900000003</v>
      </c>
      <c r="O141" s="221">
        <f t="shared" si="98"/>
        <v>79.54308890000003</v>
      </c>
    </row>
    <row r="142" spans="1:15" ht="15">
      <c r="A142" s="195"/>
      <c r="B142" s="175" t="s">
        <v>568</v>
      </c>
      <c r="C142" s="223">
        <f>0.01</f>
        <v>0.01</v>
      </c>
      <c r="D142" s="223">
        <v>0</v>
      </c>
      <c r="E142" s="223">
        <v>0</v>
      </c>
      <c r="F142" s="223">
        <f>0.01+0.04</f>
        <v>0.05</v>
      </c>
      <c r="G142" s="223">
        <f>0.02+0.05</f>
        <v>0.07</v>
      </c>
      <c r="H142" s="223">
        <f>0.02+0.06</f>
        <v>0.08</v>
      </c>
      <c r="I142" s="223">
        <f>0.03+0.058</f>
        <v>0.088</v>
      </c>
      <c r="J142" s="222">
        <f t="shared" si="98"/>
        <v>0.0968</v>
      </c>
      <c r="K142" s="222">
        <f t="shared" si="98"/>
        <v>0.10648</v>
      </c>
      <c r="L142" s="222">
        <f t="shared" si="98"/>
        <v>0.11712800000000001</v>
      </c>
      <c r="M142" s="222">
        <f t="shared" si="98"/>
        <v>0.12884080000000003</v>
      </c>
      <c r="N142" s="222">
        <f t="shared" si="98"/>
        <v>0.14172488000000005</v>
      </c>
      <c r="O142" s="221">
        <f t="shared" si="98"/>
        <v>0.15589736800000006</v>
      </c>
    </row>
    <row r="143" spans="1:15" ht="15">
      <c r="A143" s="195"/>
      <c r="B143" s="175" t="s">
        <v>567</v>
      </c>
      <c r="C143" s="223">
        <f>0.61</f>
        <v>0.61</v>
      </c>
      <c r="D143" s="223">
        <v>0</v>
      </c>
      <c r="E143" s="223">
        <v>0</v>
      </c>
      <c r="F143" s="223">
        <f>0.06+0.86+0.25</f>
        <v>1.17</v>
      </c>
      <c r="G143" s="223">
        <f>2.55+2.31+0.8</f>
        <v>5.659999999999999</v>
      </c>
      <c r="H143" s="223">
        <f>9.65+2.77+1</f>
        <v>13.42</v>
      </c>
      <c r="I143" s="223">
        <f>11.52+3.19+1.25</f>
        <v>15.959999999999999</v>
      </c>
      <c r="J143" s="222">
        <f t="shared" si="98"/>
        <v>17.556</v>
      </c>
      <c r="K143" s="222">
        <f t="shared" si="98"/>
        <v>19.311600000000002</v>
      </c>
      <c r="L143" s="222">
        <f t="shared" si="98"/>
        <v>21.242760000000004</v>
      </c>
      <c r="M143" s="222">
        <f t="shared" si="98"/>
        <v>23.367036000000006</v>
      </c>
      <c r="N143" s="222">
        <f t="shared" si="98"/>
        <v>25.70373960000001</v>
      </c>
      <c r="O143" s="221">
        <f t="shared" si="98"/>
        <v>28.274113560000014</v>
      </c>
    </row>
    <row r="144" spans="1:15" ht="15.75" thickBot="1">
      <c r="A144" s="191"/>
      <c r="B144" s="190" t="s">
        <v>2</v>
      </c>
      <c r="C144" s="220">
        <f aca="true" t="shared" si="99" ref="C144:O144">C111+C115+C126+C134+C139</f>
        <v>72.78999999999999</v>
      </c>
      <c r="D144" s="220">
        <f t="shared" si="99"/>
        <v>87.43</v>
      </c>
      <c r="E144" s="220">
        <f t="shared" si="99"/>
        <v>99.58000000000001</v>
      </c>
      <c r="F144" s="220">
        <f t="shared" si="99"/>
        <v>273.53</v>
      </c>
      <c r="G144" s="220">
        <f t="shared" si="99"/>
        <v>310.46999999999997</v>
      </c>
      <c r="H144" s="220">
        <f t="shared" si="99"/>
        <v>501.15000000000003</v>
      </c>
      <c r="I144" s="220">
        <f t="shared" si="99"/>
        <v>545.018</v>
      </c>
      <c r="J144" s="220">
        <f t="shared" si="99"/>
        <v>607.1298</v>
      </c>
      <c r="K144" s="220">
        <f t="shared" si="99"/>
        <v>667.8427800000001</v>
      </c>
      <c r="L144" s="220">
        <f t="shared" si="99"/>
        <v>734.6270580000001</v>
      </c>
      <c r="M144" s="220">
        <f t="shared" si="99"/>
        <v>808.0897638000004</v>
      </c>
      <c r="N144" s="220">
        <f t="shared" si="99"/>
        <v>888.8987401800002</v>
      </c>
      <c r="O144" s="220">
        <f t="shared" si="99"/>
        <v>977.7886141980006</v>
      </c>
    </row>
    <row r="145" spans="3:15" ht="15">
      <c r="C145" s="188"/>
      <c r="D145" s="188"/>
      <c r="E145" s="188"/>
      <c r="F145" s="188"/>
      <c r="G145" s="188"/>
      <c r="H145" s="188"/>
      <c r="I145" s="188"/>
      <c r="J145" s="188"/>
      <c r="K145" s="188"/>
      <c r="L145" s="188"/>
      <c r="M145" s="188"/>
      <c r="N145" s="188"/>
      <c r="O145" s="188"/>
    </row>
    <row r="146" spans="3:15" ht="15">
      <c r="C146" s="188"/>
      <c r="D146" s="188"/>
      <c r="E146" s="188"/>
      <c r="F146" s="188"/>
      <c r="G146" s="188"/>
      <c r="H146" s="188"/>
      <c r="I146" s="188"/>
      <c r="J146" s="188"/>
      <c r="K146" s="188"/>
      <c r="L146" s="188"/>
      <c r="M146" s="188"/>
      <c r="N146" s="188"/>
      <c r="O146" s="188"/>
    </row>
    <row r="147" ht="18.75">
      <c r="L147" s="143" t="s">
        <v>582</v>
      </c>
    </row>
    <row r="148" spans="1:15" ht="15">
      <c r="A148" s="180" t="s">
        <v>522</v>
      </c>
      <c r="B148" s="174"/>
      <c r="C148" s="174"/>
      <c r="D148" s="174"/>
      <c r="E148" s="174"/>
      <c r="F148" s="174"/>
      <c r="G148" s="219"/>
      <c r="H148" s="219"/>
      <c r="I148" s="219"/>
      <c r="J148" s="174"/>
      <c r="K148" s="174"/>
      <c r="L148" s="174"/>
      <c r="M148" s="174"/>
      <c r="N148" s="174"/>
      <c r="O148" s="174"/>
    </row>
    <row r="149" spans="1:8" ht="15.75" thickBot="1">
      <c r="A149" s="372"/>
      <c r="B149" s="372"/>
      <c r="C149" s="372"/>
      <c r="D149" s="372"/>
      <c r="E149" s="372"/>
      <c r="F149" s="372"/>
      <c r="G149" s="372"/>
      <c r="H149" s="372"/>
    </row>
    <row r="150" spans="1:15" ht="19.5" thickBot="1">
      <c r="A150" s="388" t="s">
        <v>581</v>
      </c>
      <c r="B150" s="389"/>
      <c r="C150" s="389"/>
      <c r="D150" s="389"/>
      <c r="E150" s="389"/>
      <c r="F150" s="389"/>
      <c r="G150" s="389"/>
      <c r="H150" s="389"/>
      <c r="I150" s="389"/>
      <c r="J150" s="389"/>
      <c r="K150" s="389"/>
      <c r="L150" s="389"/>
      <c r="M150" s="389"/>
      <c r="N150" s="389"/>
      <c r="O150" s="390"/>
    </row>
    <row r="151" spans="1:15" ht="15.75" thickBot="1">
      <c r="A151" s="218"/>
      <c r="B151" s="217"/>
      <c r="C151" s="217"/>
      <c r="D151" s="217"/>
      <c r="E151" s="217"/>
      <c r="F151" s="217"/>
      <c r="G151" s="396" t="s">
        <v>481</v>
      </c>
      <c r="H151" s="396"/>
      <c r="I151" s="396" t="s">
        <v>507</v>
      </c>
      <c r="J151" s="396"/>
      <c r="K151" s="396"/>
      <c r="L151" s="396"/>
      <c r="M151" s="396"/>
      <c r="N151" s="396"/>
      <c r="O151" s="397"/>
    </row>
    <row r="152" spans="1:15" ht="15.75" thickBot="1">
      <c r="A152" s="216" t="s">
        <v>556</v>
      </c>
      <c r="B152" s="215" t="s">
        <v>506</v>
      </c>
      <c r="C152" s="214" t="s">
        <v>36</v>
      </c>
      <c r="D152" s="214" t="s">
        <v>35</v>
      </c>
      <c r="E152" s="214" t="s">
        <v>34</v>
      </c>
      <c r="F152" s="214" t="s">
        <v>33</v>
      </c>
      <c r="G152" s="214" t="s">
        <v>32</v>
      </c>
      <c r="H152" s="214" t="s">
        <v>31</v>
      </c>
      <c r="I152" s="214" t="s">
        <v>30</v>
      </c>
      <c r="J152" s="214" t="s">
        <v>29</v>
      </c>
      <c r="K152" s="213" t="s">
        <v>28</v>
      </c>
      <c r="L152" s="213" t="s">
        <v>27</v>
      </c>
      <c r="M152" s="213" t="s">
        <v>26</v>
      </c>
      <c r="N152" s="213" t="s">
        <v>25</v>
      </c>
      <c r="O152" s="212" t="s">
        <v>24</v>
      </c>
    </row>
    <row r="153" spans="1:15" ht="15">
      <c r="A153" s="211">
        <v>1</v>
      </c>
      <c r="B153" s="210" t="s">
        <v>554</v>
      </c>
      <c r="C153" s="209">
        <f aca="true" t="shared" si="100" ref="C153:O153">SUM(C154:C155)</f>
        <v>74.74000000000001</v>
      </c>
      <c r="D153" s="209">
        <f t="shared" si="100"/>
        <v>101.38</v>
      </c>
      <c r="E153" s="209">
        <f t="shared" si="100"/>
        <v>126.49</v>
      </c>
      <c r="F153" s="209">
        <f t="shared" si="100"/>
        <v>85.54</v>
      </c>
      <c r="G153" s="209">
        <f t="shared" si="100"/>
        <v>98.64000000000001</v>
      </c>
      <c r="H153" s="209">
        <f t="shared" si="100"/>
        <v>126.58</v>
      </c>
      <c r="I153" s="209">
        <f t="shared" si="100"/>
        <v>150.08</v>
      </c>
      <c r="J153" s="209">
        <f t="shared" si="100"/>
        <v>165.08800000000002</v>
      </c>
      <c r="K153" s="209">
        <f t="shared" si="100"/>
        <v>181.5968</v>
      </c>
      <c r="L153" s="209">
        <f t="shared" si="100"/>
        <v>199.75648000000004</v>
      </c>
      <c r="M153" s="209">
        <f t="shared" si="100"/>
        <v>219.73212800000005</v>
      </c>
      <c r="N153" s="209">
        <f t="shared" si="100"/>
        <v>241.70534080000007</v>
      </c>
      <c r="O153" s="209">
        <f t="shared" si="100"/>
        <v>265.8758748800001</v>
      </c>
    </row>
    <row r="154" spans="1:15" ht="30">
      <c r="A154" s="206"/>
      <c r="B154" s="177" t="s">
        <v>553</v>
      </c>
      <c r="C154" s="208">
        <f>9.29+15.61+14.21+16.6+14.8</f>
        <v>70.51</v>
      </c>
      <c r="D154" s="208">
        <f>13.23+24.4+16.61+25.05+19.14</f>
        <v>98.42999999999999</v>
      </c>
      <c r="E154" s="208">
        <f>16+37+19.32+24.98+24.97</f>
        <v>122.27</v>
      </c>
      <c r="F154" s="208">
        <f>27.63+30.79+25.53</f>
        <v>83.95</v>
      </c>
      <c r="G154" s="207">
        <f>23.28+39.63+34.45</f>
        <v>97.36000000000001</v>
      </c>
      <c r="H154" s="194">
        <f>34.42+38.41+50.14</f>
        <v>122.97</v>
      </c>
      <c r="I154" s="194">
        <f>48.52+43.18+54.27</f>
        <v>145.97</v>
      </c>
      <c r="J154" s="193">
        <f aca="true" t="shared" si="101" ref="J154:O156">I154*110%</f>
        <v>160.567</v>
      </c>
      <c r="K154" s="193">
        <f t="shared" si="101"/>
        <v>176.6237</v>
      </c>
      <c r="L154" s="193">
        <f t="shared" si="101"/>
        <v>194.28607000000002</v>
      </c>
      <c r="M154" s="193">
        <f t="shared" si="101"/>
        <v>213.71467700000005</v>
      </c>
      <c r="N154" s="193">
        <f t="shared" si="101"/>
        <v>235.08614470000006</v>
      </c>
      <c r="O154" s="192">
        <f t="shared" si="101"/>
        <v>258.5947591700001</v>
      </c>
    </row>
    <row r="155" spans="1:15" ht="15">
      <c r="A155" s="206"/>
      <c r="B155" s="178" t="s">
        <v>552</v>
      </c>
      <c r="C155" s="205">
        <f>0.28+2.27+1+0.68</f>
        <v>4.2299999999999995</v>
      </c>
      <c r="D155" s="194">
        <f>2.14+0.7+0.11</f>
        <v>2.9499999999999997</v>
      </c>
      <c r="E155" s="194">
        <f>0.87+2.01+0.67+0.67</f>
        <v>4.22</v>
      </c>
      <c r="F155" s="194">
        <f>0.83+0.76</f>
        <v>1.5899999999999999</v>
      </c>
      <c r="G155" s="194">
        <f>1.28</f>
        <v>1.28</v>
      </c>
      <c r="H155" s="199">
        <f>1.34+1.6+0.67</f>
        <v>3.6100000000000003</v>
      </c>
      <c r="I155" s="199">
        <f>1.68+1.76+0.67</f>
        <v>4.11</v>
      </c>
      <c r="J155" s="193">
        <f t="shared" si="101"/>
        <v>4.521000000000001</v>
      </c>
      <c r="K155" s="193">
        <f t="shared" si="101"/>
        <v>4.973100000000001</v>
      </c>
      <c r="L155" s="193">
        <f t="shared" si="101"/>
        <v>5.470410000000002</v>
      </c>
      <c r="M155" s="193">
        <f t="shared" si="101"/>
        <v>6.017451000000003</v>
      </c>
      <c r="N155" s="193">
        <f t="shared" si="101"/>
        <v>6.6191961000000035</v>
      </c>
      <c r="O155" s="192">
        <f t="shared" si="101"/>
        <v>7.281115710000004</v>
      </c>
    </row>
    <row r="156" spans="1:15" ht="15">
      <c r="A156" s="200"/>
      <c r="B156" s="177" t="s">
        <v>561</v>
      </c>
      <c r="C156" s="199">
        <v>0</v>
      </c>
      <c r="D156" s="199">
        <v>0</v>
      </c>
      <c r="E156" s="199">
        <v>0</v>
      </c>
      <c r="F156" s="199">
        <v>0</v>
      </c>
      <c r="G156" s="199">
        <v>0</v>
      </c>
      <c r="H156" s="199"/>
      <c r="I156" s="199"/>
      <c r="J156" s="193">
        <f t="shared" si="101"/>
        <v>0</v>
      </c>
      <c r="K156" s="193">
        <f t="shared" si="101"/>
        <v>0</v>
      </c>
      <c r="L156" s="193">
        <f t="shared" si="101"/>
        <v>0</v>
      </c>
      <c r="M156" s="193">
        <f t="shared" si="101"/>
        <v>0</v>
      </c>
      <c r="N156" s="193">
        <f t="shared" si="101"/>
        <v>0</v>
      </c>
      <c r="O156" s="192">
        <f t="shared" si="101"/>
        <v>0</v>
      </c>
    </row>
    <row r="157" spans="1:15" ht="15">
      <c r="A157" s="200">
        <v>2</v>
      </c>
      <c r="B157" s="129" t="s">
        <v>549</v>
      </c>
      <c r="C157" s="204">
        <f aca="true" t="shared" si="102" ref="C157:O157">SUM(C158:C167)</f>
        <v>10.81</v>
      </c>
      <c r="D157" s="204">
        <f t="shared" si="102"/>
        <v>22.269999999999996</v>
      </c>
      <c r="E157" s="204">
        <f t="shared" si="102"/>
        <v>32.41</v>
      </c>
      <c r="F157" s="204">
        <f t="shared" si="102"/>
        <v>59.74999999999999</v>
      </c>
      <c r="G157" s="204">
        <f t="shared" si="102"/>
        <v>40.63</v>
      </c>
      <c r="H157" s="204">
        <f t="shared" si="102"/>
        <v>51.83</v>
      </c>
      <c r="I157" s="204">
        <f t="shared" si="102"/>
        <v>35.69</v>
      </c>
      <c r="J157" s="204">
        <f t="shared" si="102"/>
        <v>39.259</v>
      </c>
      <c r="K157" s="204">
        <f t="shared" si="102"/>
        <v>43.184900000000006</v>
      </c>
      <c r="L157" s="204">
        <f t="shared" si="102"/>
        <v>47.50339000000001</v>
      </c>
      <c r="M157" s="204">
        <f t="shared" si="102"/>
        <v>52.253729000000014</v>
      </c>
      <c r="N157" s="204">
        <f t="shared" si="102"/>
        <v>57.479101900000025</v>
      </c>
      <c r="O157" s="204">
        <f t="shared" si="102"/>
        <v>63.22701209000004</v>
      </c>
    </row>
    <row r="158" spans="1:15" ht="15">
      <c r="A158" s="200"/>
      <c r="B158" s="129" t="s">
        <v>544</v>
      </c>
      <c r="C158" s="199">
        <v>0</v>
      </c>
      <c r="D158" s="199">
        <v>0</v>
      </c>
      <c r="E158" s="199">
        <v>0</v>
      </c>
      <c r="F158" s="199">
        <v>0</v>
      </c>
      <c r="G158" s="199">
        <v>0</v>
      </c>
      <c r="H158" s="199"/>
      <c r="I158" s="199"/>
      <c r="J158" s="193">
        <f aca="true" t="shared" si="103" ref="J158:O167">I158*110%</f>
        <v>0</v>
      </c>
      <c r="K158" s="193">
        <f t="shared" si="103"/>
        <v>0</v>
      </c>
      <c r="L158" s="193">
        <f t="shared" si="103"/>
        <v>0</v>
      </c>
      <c r="M158" s="193">
        <f t="shared" si="103"/>
        <v>0</v>
      </c>
      <c r="N158" s="193">
        <f t="shared" si="103"/>
        <v>0</v>
      </c>
      <c r="O158" s="192">
        <f t="shared" si="103"/>
        <v>0</v>
      </c>
    </row>
    <row r="159" spans="1:15" ht="15">
      <c r="A159" s="200"/>
      <c r="B159" s="129" t="s">
        <v>543</v>
      </c>
      <c r="C159" s="194">
        <f>0+0.59+0.03+0.44+0.93</f>
        <v>1.9900000000000002</v>
      </c>
      <c r="D159" s="194">
        <f>1.35+3.93</f>
        <v>5.28</v>
      </c>
      <c r="E159" s="194">
        <f>0+0.94+0.34+2.14</f>
        <v>3.42</v>
      </c>
      <c r="F159" s="194">
        <f>0.16+2.44+3.17</f>
        <v>5.77</v>
      </c>
      <c r="G159" s="194">
        <f>2.31+2.83+4.75</f>
        <v>9.89</v>
      </c>
      <c r="H159" s="194">
        <f>8.08+4</f>
        <v>12.08</v>
      </c>
      <c r="I159" s="194">
        <f>2.59+4.4</f>
        <v>6.99</v>
      </c>
      <c r="J159" s="193">
        <f t="shared" si="103"/>
        <v>7.689000000000001</v>
      </c>
      <c r="K159" s="193">
        <f t="shared" si="103"/>
        <v>8.457900000000002</v>
      </c>
      <c r="L159" s="193">
        <f t="shared" si="103"/>
        <v>9.303690000000003</v>
      </c>
      <c r="M159" s="193">
        <f t="shared" si="103"/>
        <v>10.234059000000004</v>
      </c>
      <c r="N159" s="193">
        <f t="shared" si="103"/>
        <v>11.257464900000006</v>
      </c>
      <c r="O159" s="192">
        <f t="shared" si="103"/>
        <v>12.383211390000007</v>
      </c>
    </row>
    <row r="160" spans="1:15" ht="15">
      <c r="A160" s="200"/>
      <c r="B160" s="129" t="s">
        <v>542</v>
      </c>
      <c r="C160" s="54">
        <f>0.11</f>
        <v>0.11</v>
      </c>
      <c r="D160" s="54">
        <f>0.48</f>
        <v>0.48</v>
      </c>
      <c r="E160" s="54">
        <f>1.43</f>
        <v>1.43</v>
      </c>
      <c r="F160" s="194">
        <f>0.4</f>
        <v>0.4</v>
      </c>
      <c r="G160" s="194">
        <f>2.48</f>
        <v>2.48</v>
      </c>
      <c r="H160" s="194">
        <f>4</f>
        <v>4</v>
      </c>
      <c r="I160" s="194">
        <f>4.4</f>
        <v>4.4</v>
      </c>
      <c r="J160" s="193">
        <f t="shared" si="103"/>
        <v>4.840000000000001</v>
      </c>
      <c r="K160" s="193">
        <f t="shared" si="103"/>
        <v>5.324000000000002</v>
      </c>
      <c r="L160" s="193">
        <f t="shared" si="103"/>
        <v>5.8564000000000025</v>
      </c>
      <c r="M160" s="193">
        <f t="shared" si="103"/>
        <v>6.442040000000003</v>
      </c>
      <c r="N160" s="193">
        <f t="shared" si="103"/>
        <v>7.086244000000004</v>
      </c>
      <c r="O160" s="192">
        <f t="shared" si="103"/>
        <v>7.794868400000006</v>
      </c>
    </row>
    <row r="161" spans="1:15" ht="15">
      <c r="A161" s="200"/>
      <c r="B161" s="129" t="s">
        <v>541</v>
      </c>
      <c r="C161" s="199">
        <v>0</v>
      </c>
      <c r="D161" s="199">
        <v>0</v>
      </c>
      <c r="E161" s="199">
        <v>0</v>
      </c>
      <c r="F161" s="199">
        <v>0</v>
      </c>
      <c r="G161" s="199">
        <v>0</v>
      </c>
      <c r="H161" s="199"/>
      <c r="I161" s="199"/>
      <c r="J161" s="193">
        <f t="shared" si="103"/>
        <v>0</v>
      </c>
      <c r="K161" s="193">
        <f t="shared" si="103"/>
        <v>0</v>
      </c>
      <c r="L161" s="193">
        <f t="shared" si="103"/>
        <v>0</v>
      </c>
      <c r="M161" s="193">
        <f t="shared" si="103"/>
        <v>0</v>
      </c>
      <c r="N161" s="193">
        <f t="shared" si="103"/>
        <v>0</v>
      </c>
      <c r="O161" s="192">
        <f t="shared" si="103"/>
        <v>0</v>
      </c>
    </row>
    <row r="162" spans="1:15" ht="15">
      <c r="A162" s="200"/>
      <c r="B162" s="129" t="s">
        <v>548</v>
      </c>
      <c r="C162" s="199">
        <v>0</v>
      </c>
      <c r="D162" s="199">
        <v>0</v>
      </c>
      <c r="E162" s="199">
        <v>0</v>
      </c>
      <c r="F162" s="199">
        <v>0</v>
      </c>
      <c r="G162" s="199">
        <v>0</v>
      </c>
      <c r="H162" s="199"/>
      <c r="I162" s="199"/>
      <c r="J162" s="193">
        <f t="shared" si="103"/>
        <v>0</v>
      </c>
      <c r="K162" s="193">
        <f t="shared" si="103"/>
        <v>0</v>
      </c>
      <c r="L162" s="193">
        <f t="shared" si="103"/>
        <v>0</v>
      </c>
      <c r="M162" s="193">
        <f t="shared" si="103"/>
        <v>0</v>
      </c>
      <c r="N162" s="193">
        <f t="shared" si="103"/>
        <v>0</v>
      </c>
      <c r="O162" s="192">
        <f t="shared" si="103"/>
        <v>0</v>
      </c>
    </row>
    <row r="163" spans="1:15" ht="32.25" customHeight="1">
      <c r="A163" s="200"/>
      <c r="B163" s="132" t="s">
        <v>560</v>
      </c>
      <c r="C163" s="199">
        <v>0</v>
      </c>
      <c r="D163" s="199">
        <v>0</v>
      </c>
      <c r="E163" s="199">
        <v>0</v>
      </c>
      <c r="F163" s="194">
        <f>25.02</f>
        <v>25.02</v>
      </c>
      <c r="G163" s="199">
        <v>0</v>
      </c>
      <c r="H163" s="199"/>
      <c r="I163" s="199"/>
      <c r="J163" s="193">
        <f t="shared" si="103"/>
        <v>0</v>
      </c>
      <c r="K163" s="193">
        <f t="shared" si="103"/>
        <v>0</v>
      </c>
      <c r="L163" s="193">
        <f t="shared" si="103"/>
        <v>0</v>
      </c>
      <c r="M163" s="193">
        <f t="shared" si="103"/>
        <v>0</v>
      </c>
      <c r="N163" s="193">
        <f t="shared" si="103"/>
        <v>0</v>
      </c>
      <c r="O163" s="192">
        <f t="shared" si="103"/>
        <v>0</v>
      </c>
    </row>
    <row r="164" spans="1:15" ht="15">
      <c r="A164" s="203"/>
      <c r="B164" s="132" t="s">
        <v>580</v>
      </c>
      <c r="C164" s="194">
        <f>1.17+1.11</f>
        <v>2.2800000000000002</v>
      </c>
      <c r="D164" s="194">
        <f>0.46+0.54+1.08</f>
        <v>2.08</v>
      </c>
      <c r="E164" s="194">
        <f>1.21+0.38</f>
        <v>1.5899999999999999</v>
      </c>
      <c r="F164" s="194">
        <f>0.78+25.72</f>
        <v>26.5</v>
      </c>
      <c r="G164" s="194">
        <f>0.64+2.94</f>
        <v>3.58</v>
      </c>
      <c r="H164" s="194">
        <f>4+3.95+3.88</f>
        <v>11.83</v>
      </c>
      <c r="I164" s="194">
        <f>1+4.35+4.5</f>
        <v>9.85</v>
      </c>
      <c r="J164" s="193">
        <f t="shared" si="103"/>
        <v>10.835</v>
      </c>
      <c r="K164" s="193">
        <f t="shared" si="103"/>
        <v>11.918500000000002</v>
      </c>
      <c r="L164" s="193">
        <f t="shared" si="103"/>
        <v>13.110350000000002</v>
      </c>
      <c r="M164" s="193">
        <f t="shared" si="103"/>
        <v>14.421385000000004</v>
      </c>
      <c r="N164" s="193">
        <f t="shared" si="103"/>
        <v>15.863523500000007</v>
      </c>
      <c r="O164" s="192">
        <f t="shared" si="103"/>
        <v>17.44987585000001</v>
      </c>
    </row>
    <row r="165" spans="1:15" ht="15">
      <c r="A165" s="203"/>
      <c r="B165" s="132" t="s">
        <v>579</v>
      </c>
      <c r="C165" s="194"/>
      <c r="D165" s="194"/>
      <c r="E165" s="194"/>
      <c r="F165" s="194"/>
      <c r="G165" s="194"/>
      <c r="H165" s="194"/>
      <c r="I165" s="194"/>
      <c r="J165" s="193">
        <f t="shared" si="103"/>
        <v>0</v>
      </c>
      <c r="K165" s="193">
        <f t="shared" si="103"/>
        <v>0</v>
      </c>
      <c r="L165" s="193">
        <f t="shared" si="103"/>
        <v>0</v>
      </c>
      <c r="M165" s="193">
        <f t="shared" si="103"/>
        <v>0</v>
      </c>
      <c r="N165" s="193">
        <f t="shared" si="103"/>
        <v>0</v>
      </c>
      <c r="O165" s="192">
        <f t="shared" si="103"/>
        <v>0</v>
      </c>
    </row>
    <row r="166" spans="1:15" ht="15">
      <c r="A166" s="203"/>
      <c r="B166" s="132" t="s">
        <v>578</v>
      </c>
      <c r="C166" s="194">
        <f>0.49+0.45</f>
        <v>0.94</v>
      </c>
      <c r="D166" s="194">
        <f>0.07+3.29+0.68</f>
        <v>4.04</v>
      </c>
      <c r="E166" s="194">
        <f>2.54+0.42+5.89</f>
        <v>8.85</v>
      </c>
      <c r="F166" s="194">
        <f>0.27+0.22+0.27</f>
        <v>0.76</v>
      </c>
      <c r="G166" s="194">
        <f>0.16+0.27+0.29</f>
        <v>0.72</v>
      </c>
      <c r="H166" s="194">
        <f>4.21+1.5</f>
        <v>5.71</v>
      </c>
      <c r="I166" s="194">
        <f>1.27+1.65+1.8</f>
        <v>4.72</v>
      </c>
      <c r="J166" s="193">
        <f t="shared" si="103"/>
        <v>5.192</v>
      </c>
      <c r="K166" s="193">
        <f t="shared" si="103"/>
        <v>5.711200000000001</v>
      </c>
      <c r="L166" s="193">
        <f t="shared" si="103"/>
        <v>6.282320000000001</v>
      </c>
      <c r="M166" s="193">
        <f t="shared" si="103"/>
        <v>6.910552000000002</v>
      </c>
      <c r="N166" s="193">
        <f t="shared" si="103"/>
        <v>7.601607200000003</v>
      </c>
      <c r="O166" s="192">
        <f t="shared" si="103"/>
        <v>8.361767920000004</v>
      </c>
    </row>
    <row r="167" spans="1:15" ht="30">
      <c r="A167" s="203"/>
      <c r="B167" s="132" t="s">
        <v>577</v>
      </c>
      <c r="C167" s="194">
        <f>0.8+1.02+2.84+0.83</f>
        <v>5.49</v>
      </c>
      <c r="D167" s="194">
        <f>3.82+4.13+2.29+0.15</f>
        <v>10.389999999999999</v>
      </c>
      <c r="E167" s="194">
        <f>7.23+2.37+7.52</f>
        <v>17.12</v>
      </c>
      <c r="F167" s="194">
        <f>1.19+0.11</f>
        <v>1.3</v>
      </c>
      <c r="G167" s="194">
        <f>16.71+7.25</f>
        <v>23.96</v>
      </c>
      <c r="H167" s="194">
        <f>16.71+1.5</f>
        <v>18.21</v>
      </c>
      <c r="I167" s="194">
        <f>8.08+6.05-4.4</f>
        <v>9.729999999999999</v>
      </c>
      <c r="J167" s="193">
        <f t="shared" si="103"/>
        <v>10.703</v>
      </c>
      <c r="K167" s="193">
        <f t="shared" si="103"/>
        <v>11.7733</v>
      </c>
      <c r="L167" s="193">
        <f t="shared" si="103"/>
        <v>12.950630000000002</v>
      </c>
      <c r="M167" s="193">
        <f t="shared" si="103"/>
        <v>14.245693000000003</v>
      </c>
      <c r="N167" s="193">
        <f t="shared" si="103"/>
        <v>15.670262300000005</v>
      </c>
      <c r="O167" s="192">
        <f t="shared" si="103"/>
        <v>17.237288530000008</v>
      </c>
    </row>
    <row r="168" spans="1:15" ht="15">
      <c r="A168" s="195">
        <v>3</v>
      </c>
      <c r="B168" s="175" t="s">
        <v>545</v>
      </c>
      <c r="C168" s="197">
        <f aca="true" t="shared" si="104" ref="C168:O168">SUM(C169:C175)</f>
        <v>44.089999999999996</v>
      </c>
      <c r="D168" s="197">
        <f t="shared" si="104"/>
        <v>43.81</v>
      </c>
      <c r="E168" s="197">
        <f t="shared" si="104"/>
        <v>190.57</v>
      </c>
      <c r="F168" s="197">
        <f t="shared" si="104"/>
        <v>52.32</v>
      </c>
      <c r="G168" s="197">
        <f t="shared" si="104"/>
        <v>99.29</v>
      </c>
      <c r="H168" s="197">
        <f t="shared" si="104"/>
        <v>87.93</v>
      </c>
      <c r="I168" s="197">
        <f t="shared" si="104"/>
        <v>100.72</v>
      </c>
      <c r="J168" s="197">
        <f t="shared" si="104"/>
        <v>110.792</v>
      </c>
      <c r="K168" s="197">
        <f t="shared" si="104"/>
        <v>121.87120000000002</v>
      </c>
      <c r="L168" s="197">
        <f t="shared" si="104"/>
        <v>134.05832000000004</v>
      </c>
      <c r="M168" s="197">
        <f t="shared" si="104"/>
        <v>147.46415200000004</v>
      </c>
      <c r="N168" s="197">
        <f t="shared" si="104"/>
        <v>162.21056720000007</v>
      </c>
      <c r="O168" s="197">
        <f t="shared" si="104"/>
        <v>178.43162392000008</v>
      </c>
    </row>
    <row r="169" spans="1:15" ht="15">
      <c r="A169" s="195"/>
      <c r="B169" s="129" t="s">
        <v>544</v>
      </c>
      <c r="C169" s="194">
        <f>3.5+1</f>
        <v>4.5</v>
      </c>
      <c r="D169" s="194">
        <f>0</f>
        <v>0</v>
      </c>
      <c r="E169" s="194">
        <f>5</f>
        <v>5</v>
      </c>
      <c r="F169" s="194">
        <f>0</f>
        <v>0</v>
      </c>
      <c r="G169" s="194">
        <f>1.42</f>
        <v>1.42</v>
      </c>
      <c r="H169" s="194"/>
      <c r="I169" s="194"/>
      <c r="J169" s="193">
        <f aca="true" t="shared" si="105" ref="J169:O175">I169*110%</f>
        <v>0</v>
      </c>
      <c r="K169" s="193">
        <f t="shared" si="105"/>
        <v>0</v>
      </c>
      <c r="L169" s="193">
        <f t="shared" si="105"/>
        <v>0</v>
      </c>
      <c r="M169" s="193">
        <f t="shared" si="105"/>
        <v>0</v>
      </c>
      <c r="N169" s="193">
        <f t="shared" si="105"/>
        <v>0</v>
      </c>
      <c r="O169" s="192">
        <f t="shared" si="105"/>
        <v>0</v>
      </c>
    </row>
    <row r="170" spans="1:15" ht="15">
      <c r="A170" s="195"/>
      <c r="B170" s="129" t="s">
        <v>576</v>
      </c>
      <c r="C170" s="194">
        <f>6.4+14.89</f>
        <v>21.29</v>
      </c>
      <c r="D170" s="194">
        <f>4.8+0.78</f>
        <v>5.58</v>
      </c>
      <c r="E170" s="194">
        <f>5.12+0.48+27.16+75.64</f>
        <v>108.4</v>
      </c>
      <c r="F170" s="194">
        <f>4.8</f>
        <v>4.8</v>
      </c>
      <c r="G170" s="194">
        <f>9.02+37.22+10.8</f>
        <v>57.03999999999999</v>
      </c>
      <c r="H170" s="194">
        <f>16.93+3</f>
        <v>19.93</v>
      </c>
      <c r="I170" s="194">
        <f>20.32+3.3</f>
        <v>23.62</v>
      </c>
      <c r="J170" s="193">
        <f t="shared" si="105"/>
        <v>25.982000000000003</v>
      </c>
      <c r="K170" s="193">
        <f t="shared" si="105"/>
        <v>28.580200000000005</v>
      </c>
      <c r="L170" s="193">
        <f t="shared" si="105"/>
        <v>31.43822000000001</v>
      </c>
      <c r="M170" s="193">
        <f t="shared" si="105"/>
        <v>34.58204200000001</v>
      </c>
      <c r="N170" s="193">
        <f t="shared" si="105"/>
        <v>38.04024620000001</v>
      </c>
      <c r="O170" s="192">
        <f t="shared" si="105"/>
        <v>41.84427082000002</v>
      </c>
    </row>
    <row r="171" spans="1:15" ht="15">
      <c r="A171" s="195"/>
      <c r="B171" s="129" t="s">
        <v>575</v>
      </c>
      <c r="C171" s="194">
        <f>1.5</f>
        <v>1.5</v>
      </c>
      <c r="D171" s="194">
        <f>3+2.81</f>
        <v>5.8100000000000005</v>
      </c>
      <c r="E171" s="194">
        <f>3.02+6.29</f>
        <v>9.31</v>
      </c>
      <c r="F171" s="194">
        <f>17.68+0.29</f>
        <v>17.97</v>
      </c>
      <c r="G171" s="194">
        <f>11.76</f>
        <v>11.76</v>
      </c>
      <c r="H171" s="194">
        <f>1.5+10</f>
        <v>11.5</v>
      </c>
      <c r="I171" s="194">
        <f>1.8+11</f>
        <v>12.8</v>
      </c>
      <c r="J171" s="193">
        <f t="shared" si="105"/>
        <v>14.080000000000002</v>
      </c>
      <c r="K171" s="193">
        <f t="shared" si="105"/>
        <v>15.488000000000003</v>
      </c>
      <c r="L171" s="193">
        <f t="shared" si="105"/>
        <v>17.036800000000003</v>
      </c>
      <c r="M171" s="193">
        <f t="shared" si="105"/>
        <v>18.740480000000005</v>
      </c>
      <c r="N171" s="193">
        <f t="shared" si="105"/>
        <v>20.614528000000007</v>
      </c>
      <c r="O171" s="192">
        <f t="shared" si="105"/>
        <v>22.67598080000001</v>
      </c>
    </row>
    <row r="172" spans="1:15" ht="21" customHeight="1">
      <c r="A172" s="195"/>
      <c r="B172" s="129" t="s">
        <v>574</v>
      </c>
      <c r="C172" s="194">
        <f>6+7</f>
        <v>13</v>
      </c>
      <c r="D172" s="194">
        <f>3.01</f>
        <v>3.01</v>
      </c>
      <c r="E172" s="194">
        <f>2.61+2.71+20.63</f>
        <v>25.95</v>
      </c>
      <c r="F172" s="194">
        <f>4.36+19.63</f>
        <v>23.99</v>
      </c>
      <c r="G172" s="194">
        <f>15.6+9.82</f>
        <v>25.42</v>
      </c>
      <c r="H172" s="194">
        <f>2.8+15</f>
        <v>17.8</v>
      </c>
      <c r="I172" s="194">
        <f>3.36+16.5</f>
        <v>19.86</v>
      </c>
      <c r="J172" s="193">
        <f t="shared" si="105"/>
        <v>21.846</v>
      </c>
      <c r="K172" s="193">
        <f t="shared" si="105"/>
        <v>24.030600000000003</v>
      </c>
      <c r="L172" s="193">
        <f t="shared" si="105"/>
        <v>26.433660000000007</v>
      </c>
      <c r="M172" s="193">
        <f t="shared" si="105"/>
        <v>29.07702600000001</v>
      </c>
      <c r="N172" s="193">
        <f t="shared" si="105"/>
        <v>31.984728600000015</v>
      </c>
      <c r="O172" s="192">
        <f t="shared" si="105"/>
        <v>35.18320146000002</v>
      </c>
    </row>
    <row r="173" spans="1:15" ht="15">
      <c r="A173" s="195"/>
      <c r="B173" s="129" t="s">
        <v>573</v>
      </c>
      <c r="C173" s="199">
        <v>0</v>
      </c>
      <c r="D173" s="199">
        <v>0</v>
      </c>
      <c r="E173" s="199">
        <v>0</v>
      </c>
      <c r="F173" s="199">
        <v>0</v>
      </c>
      <c r="G173" s="199">
        <v>0</v>
      </c>
      <c r="H173" s="199"/>
      <c r="I173" s="199"/>
      <c r="J173" s="193">
        <f t="shared" si="105"/>
        <v>0</v>
      </c>
      <c r="K173" s="193">
        <f t="shared" si="105"/>
        <v>0</v>
      </c>
      <c r="L173" s="193">
        <f t="shared" si="105"/>
        <v>0</v>
      </c>
      <c r="M173" s="193">
        <f t="shared" si="105"/>
        <v>0</v>
      </c>
      <c r="N173" s="193">
        <f t="shared" si="105"/>
        <v>0</v>
      </c>
      <c r="O173" s="192">
        <f t="shared" si="105"/>
        <v>0</v>
      </c>
    </row>
    <row r="174" spans="1:15" ht="15">
      <c r="A174" s="195"/>
      <c r="B174" s="129" t="s">
        <v>572</v>
      </c>
      <c r="C174" s="199">
        <v>0</v>
      </c>
      <c r="D174" s="199">
        <v>0</v>
      </c>
      <c r="E174" s="199">
        <v>0</v>
      </c>
      <c r="F174" s="199">
        <v>0</v>
      </c>
      <c r="G174" s="199">
        <v>0</v>
      </c>
      <c r="H174" s="199"/>
      <c r="I174" s="199"/>
      <c r="J174" s="193">
        <f t="shared" si="105"/>
        <v>0</v>
      </c>
      <c r="K174" s="193">
        <f t="shared" si="105"/>
        <v>0</v>
      </c>
      <c r="L174" s="193">
        <f t="shared" si="105"/>
        <v>0</v>
      </c>
      <c r="M174" s="193">
        <f t="shared" si="105"/>
        <v>0</v>
      </c>
      <c r="N174" s="193">
        <f t="shared" si="105"/>
        <v>0</v>
      </c>
      <c r="O174" s="192">
        <f t="shared" si="105"/>
        <v>0</v>
      </c>
    </row>
    <row r="175" spans="1:15" ht="15">
      <c r="A175" s="195"/>
      <c r="B175" s="129" t="s">
        <v>571</v>
      </c>
      <c r="C175" s="194">
        <f>0.5+0.87+1.15+1.28</f>
        <v>3.8</v>
      </c>
      <c r="D175" s="194">
        <f>0.67+0.57+8.89+19.28</f>
        <v>29.410000000000004</v>
      </c>
      <c r="E175" s="194">
        <f>0.2+21.44+6.56+13.71</f>
        <v>41.91</v>
      </c>
      <c r="F175" s="194">
        <f>2.41+0.21+2.94</f>
        <v>5.5600000000000005</v>
      </c>
      <c r="G175" s="194">
        <f>0.59+0.61+2.45</f>
        <v>3.6500000000000004</v>
      </c>
      <c r="H175" s="194">
        <f>26.7+12</f>
        <v>38.7</v>
      </c>
      <c r="I175" s="194">
        <f>32.04+12.4</f>
        <v>44.44</v>
      </c>
      <c r="J175" s="193">
        <f t="shared" si="105"/>
        <v>48.884</v>
      </c>
      <c r="K175" s="193">
        <f t="shared" si="105"/>
        <v>53.772400000000005</v>
      </c>
      <c r="L175" s="193">
        <f t="shared" si="105"/>
        <v>59.14964000000001</v>
      </c>
      <c r="M175" s="193">
        <f t="shared" si="105"/>
        <v>65.06460400000002</v>
      </c>
      <c r="N175" s="193">
        <f t="shared" si="105"/>
        <v>71.57106440000003</v>
      </c>
      <c r="O175" s="192">
        <f t="shared" si="105"/>
        <v>78.72817084000003</v>
      </c>
    </row>
    <row r="176" spans="1:15" ht="30">
      <c r="A176" s="200">
        <v>4</v>
      </c>
      <c r="B176" s="177" t="s">
        <v>539</v>
      </c>
      <c r="C176" s="54"/>
      <c r="D176" s="54"/>
      <c r="E176" s="54"/>
      <c r="F176" s="54"/>
      <c r="G176" s="202"/>
      <c r="H176" s="202"/>
      <c r="I176" s="202"/>
      <c r="J176" s="54"/>
      <c r="K176" s="54"/>
      <c r="L176" s="54"/>
      <c r="M176" s="54"/>
      <c r="N176" s="54"/>
      <c r="O176" s="201"/>
    </row>
    <row r="177" spans="1:15" ht="30">
      <c r="A177" s="200"/>
      <c r="B177" s="177" t="s">
        <v>538</v>
      </c>
      <c r="C177" s="199">
        <v>0</v>
      </c>
      <c r="D177" s="199">
        <v>0</v>
      </c>
      <c r="E177" s="199">
        <v>0</v>
      </c>
      <c r="F177" s="199">
        <v>0</v>
      </c>
      <c r="G177" s="199">
        <v>0</v>
      </c>
      <c r="H177" s="199"/>
      <c r="I177" s="199"/>
      <c r="J177" s="199">
        <v>0</v>
      </c>
      <c r="K177" s="199">
        <v>0</v>
      </c>
      <c r="L177" s="199">
        <v>0</v>
      </c>
      <c r="M177" s="199">
        <v>0</v>
      </c>
      <c r="N177" s="199">
        <v>0</v>
      </c>
      <c r="O177" s="198">
        <v>0</v>
      </c>
    </row>
    <row r="178" spans="1:15" ht="15">
      <c r="A178" s="195"/>
      <c r="B178" s="175" t="s">
        <v>537</v>
      </c>
      <c r="C178" s="199">
        <v>0</v>
      </c>
      <c r="D178" s="199">
        <v>0</v>
      </c>
      <c r="E178" s="199">
        <v>0</v>
      </c>
      <c r="F178" s="199">
        <v>0</v>
      </c>
      <c r="G178" s="199">
        <v>0</v>
      </c>
      <c r="H178" s="199"/>
      <c r="I178" s="199"/>
      <c r="J178" s="199">
        <v>0</v>
      </c>
      <c r="K178" s="199">
        <v>0</v>
      </c>
      <c r="L178" s="199">
        <v>0</v>
      </c>
      <c r="M178" s="199">
        <v>0</v>
      </c>
      <c r="N178" s="199">
        <v>0</v>
      </c>
      <c r="O178" s="198">
        <v>0</v>
      </c>
    </row>
    <row r="179" spans="1:15" ht="15">
      <c r="A179" s="195"/>
      <c r="B179" s="175" t="s">
        <v>536</v>
      </c>
      <c r="C179" s="199">
        <v>0</v>
      </c>
      <c r="D179" s="199">
        <v>0</v>
      </c>
      <c r="E179" s="199">
        <v>0</v>
      </c>
      <c r="F179" s="199">
        <v>0</v>
      </c>
      <c r="G179" s="199">
        <v>0</v>
      </c>
      <c r="H179" s="199"/>
      <c r="I179" s="199"/>
      <c r="J179" s="199">
        <v>0</v>
      </c>
      <c r="K179" s="199">
        <v>0</v>
      </c>
      <c r="L179" s="199">
        <v>0</v>
      </c>
      <c r="M179" s="199">
        <v>0</v>
      </c>
      <c r="N179" s="199">
        <v>0</v>
      </c>
      <c r="O179" s="198">
        <v>0</v>
      </c>
    </row>
    <row r="180" spans="1:15" ht="45">
      <c r="A180" s="195"/>
      <c r="B180" s="177" t="s">
        <v>535</v>
      </c>
      <c r="C180" s="199">
        <v>0</v>
      </c>
      <c r="D180" s="199">
        <v>0</v>
      </c>
      <c r="E180" s="199">
        <v>0</v>
      </c>
      <c r="F180" s="199">
        <v>0</v>
      </c>
      <c r="G180" s="199">
        <v>0</v>
      </c>
      <c r="H180" s="199"/>
      <c r="I180" s="199"/>
      <c r="J180" s="199">
        <v>0</v>
      </c>
      <c r="K180" s="199">
        <v>0</v>
      </c>
      <c r="L180" s="199">
        <v>0</v>
      </c>
      <c r="M180" s="199">
        <v>0</v>
      </c>
      <c r="N180" s="199">
        <v>0</v>
      </c>
      <c r="O180" s="198">
        <v>0</v>
      </c>
    </row>
    <row r="181" spans="1:15" ht="15">
      <c r="A181" s="195">
        <v>5</v>
      </c>
      <c r="B181" s="175" t="s">
        <v>534</v>
      </c>
      <c r="C181" s="197">
        <f aca="true" t="shared" si="106" ref="C181:O181">SUM(C182:C185)</f>
        <v>37.39</v>
      </c>
      <c r="D181" s="197">
        <f t="shared" si="106"/>
        <v>48.599999999999994</v>
      </c>
      <c r="E181" s="197">
        <f t="shared" si="106"/>
        <v>74.34</v>
      </c>
      <c r="F181" s="197">
        <f t="shared" si="106"/>
        <v>56.68</v>
      </c>
      <c r="G181" s="197">
        <f t="shared" si="106"/>
        <v>86.10000000000001</v>
      </c>
      <c r="H181" s="197">
        <f t="shared" si="106"/>
        <v>118.83000000000001</v>
      </c>
      <c r="I181" s="197">
        <f t="shared" si="106"/>
        <v>133.54</v>
      </c>
      <c r="J181" s="197">
        <f t="shared" si="106"/>
        <v>146.894</v>
      </c>
      <c r="K181" s="197">
        <f t="shared" si="106"/>
        <v>161.5834</v>
      </c>
      <c r="L181" s="197">
        <f t="shared" si="106"/>
        <v>177.74174000000005</v>
      </c>
      <c r="M181" s="197">
        <f t="shared" si="106"/>
        <v>195.51591400000004</v>
      </c>
      <c r="N181" s="197">
        <f t="shared" si="106"/>
        <v>215.06750540000007</v>
      </c>
      <c r="O181" s="197">
        <f t="shared" si="106"/>
        <v>236.5742559400001</v>
      </c>
    </row>
    <row r="182" spans="1:15" ht="15">
      <c r="A182" s="195"/>
      <c r="B182" s="196" t="s">
        <v>570</v>
      </c>
      <c r="C182" s="194">
        <f>3.21+3.27+3.92+4.02+5.61</f>
        <v>20.03</v>
      </c>
      <c r="D182" s="194">
        <f>2.83+2.81+2.76+4.92+7.9</f>
        <v>21.22</v>
      </c>
      <c r="E182" s="194">
        <f>3.18+6.17+4.6+19.21+6.9</f>
        <v>40.059999999999995</v>
      </c>
      <c r="F182" s="194">
        <f>8.57+14.25+8.87</f>
        <v>31.689999999999998</v>
      </c>
      <c r="G182" s="194">
        <f>11.88+24.42+9.16</f>
        <v>45.46000000000001</v>
      </c>
      <c r="H182" s="194">
        <f>17.46+14.38+3.75+15.29+3.53</f>
        <v>54.410000000000004</v>
      </c>
      <c r="I182" s="194">
        <f>19.66+15.84+4.12+21.1+3</f>
        <v>63.72</v>
      </c>
      <c r="J182" s="193">
        <f aca="true" t="shared" si="107" ref="J182:O185">I182*110%</f>
        <v>70.092</v>
      </c>
      <c r="K182" s="193">
        <f t="shared" si="107"/>
        <v>77.1012</v>
      </c>
      <c r="L182" s="193">
        <f t="shared" si="107"/>
        <v>84.81132000000001</v>
      </c>
      <c r="M182" s="193">
        <f t="shared" si="107"/>
        <v>93.29245200000001</v>
      </c>
      <c r="N182" s="193">
        <f t="shared" si="107"/>
        <v>102.62169720000001</v>
      </c>
      <c r="O182" s="192">
        <f t="shared" si="107"/>
        <v>112.88386692000003</v>
      </c>
    </row>
    <row r="183" spans="1:15" ht="15">
      <c r="A183" s="195"/>
      <c r="B183" s="175" t="s">
        <v>569</v>
      </c>
      <c r="C183" s="194">
        <f>1.47+6.92+0.04+2.88+5.44</f>
        <v>16.75</v>
      </c>
      <c r="D183" s="194">
        <f>5.09+2.33+1.43+5.16+7.79</f>
        <v>21.8</v>
      </c>
      <c r="E183" s="194">
        <f>4.93+1.99+5.8+10.93+2.25</f>
        <v>25.9</v>
      </c>
      <c r="F183" s="194">
        <f>1.24+12.17+8.19</f>
        <v>21.6</v>
      </c>
      <c r="G183" s="194">
        <f>1.59+20.54+10.65</f>
        <v>32.78</v>
      </c>
      <c r="H183" s="194">
        <f>7.92+26+17.28</f>
        <v>51.2</v>
      </c>
      <c r="I183" s="194">
        <f>2.32+27.1+22.5</f>
        <v>51.92</v>
      </c>
      <c r="J183" s="193">
        <f t="shared" si="107"/>
        <v>57.11200000000001</v>
      </c>
      <c r="K183" s="193">
        <f t="shared" si="107"/>
        <v>62.823200000000014</v>
      </c>
      <c r="L183" s="193">
        <f t="shared" si="107"/>
        <v>69.10552000000003</v>
      </c>
      <c r="M183" s="193">
        <f t="shared" si="107"/>
        <v>76.01607200000004</v>
      </c>
      <c r="N183" s="193">
        <f t="shared" si="107"/>
        <v>83.61767920000004</v>
      </c>
      <c r="O183" s="192">
        <f t="shared" si="107"/>
        <v>91.97944712000005</v>
      </c>
    </row>
    <row r="184" spans="1:15" ht="15">
      <c r="A184" s="195"/>
      <c r="B184" s="175" t="s">
        <v>568</v>
      </c>
      <c r="C184" s="194">
        <f>0.01+0.01+0.01+0.08</f>
        <v>0.11</v>
      </c>
      <c r="D184" s="194">
        <f>0.01+0.02+0.01+0.01</f>
        <v>0.05</v>
      </c>
      <c r="E184" s="194">
        <f>0.01+0.03+0.01+0.01</f>
        <v>0.060000000000000005</v>
      </c>
      <c r="F184" s="194">
        <f>0.01+0.01+0.01</f>
        <v>0.03</v>
      </c>
      <c r="G184" s="194">
        <f>0.01+0.09</f>
        <v>0.09999999999999999</v>
      </c>
      <c r="H184" s="194">
        <f>0.01+0.15</f>
        <v>0.16</v>
      </c>
      <c r="I184" s="194">
        <f>0.02+0.17</f>
        <v>0.19</v>
      </c>
      <c r="J184" s="193">
        <f t="shared" si="107"/>
        <v>0.20900000000000002</v>
      </c>
      <c r="K184" s="193">
        <f t="shared" si="107"/>
        <v>0.22990000000000005</v>
      </c>
      <c r="L184" s="193">
        <f t="shared" si="107"/>
        <v>0.25289000000000006</v>
      </c>
      <c r="M184" s="193">
        <f t="shared" si="107"/>
        <v>0.27817900000000007</v>
      </c>
      <c r="N184" s="193">
        <f t="shared" si="107"/>
        <v>0.30599690000000007</v>
      </c>
      <c r="O184" s="192">
        <f t="shared" si="107"/>
        <v>0.3365965900000001</v>
      </c>
    </row>
    <row r="185" spans="1:15" ht="15">
      <c r="A185" s="195"/>
      <c r="B185" s="175" t="s">
        <v>567</v>
      </c>
      <c r="C185" s="194">
        <f>0.27+0.1+0.02+0.11</f>
        <v>0.5</v>
      </c>
      <c r="D185" s="194">
        <f>0.81+0.54+0.3+3.88</f>
        <v>5.53</v>
      </c>
      <c r="E185" s="194">
        <f>1.92+3.75+0.97+0.61+1.07</f>
        <v>8.32</v>
      </c>
      <c r="F185" s="194">
        <f>1.31+2.05</f>
        <v>3.36</v>
      </c>
      <c r="G185" s="194">
        <f>0.39+3.8+3.57</f>
        <v>7.76</v>
      </c>
      <c r="H185" s="194">
        <f>0.49+4+8.57</f>
        <v>13.06</v>
      </c>
      <c r="I185" s="194">
        <f>0.61+4.4+12.7</f>
        <v>17.71</v>
      </c>
      <c r="J185" s="193">
        <f t="shared" si="107"/>
        <v>19.481</v>
      </c>
      <c r="K185" s="193">
        <f t="shared" si="107"/>
        <v>21.429100000000002</v>
      </c>
      <c r="L185" s="193">
        <f t="shared" si="107"/>
        <v>23.572010000000002</v>
      </c>
      <c r="M185" s="193">
        <f t="shared" si="107"/>
        <v>25.929211000000006</v>
      </c>
      <c r="N185" s="193">
        <f t="shared" si="107"/>
        <v>28.522132100000007</v>
      </c>
      <c r="O185" s="192">
        <f t="shared" si="107"/>
        <v>31.37434531000001</v>
      </c>
    </row>
    <row r="186" spans="1:15" ht="15.75" thickBot="1">
      <c r="A186" s="191"/>
      <c r="B186" s="190" t="s">
        <v>2</v>
      </c>
      <c r="C186" s="189">
        <f aca="true" t="shared" si="108" ref="C186:O186">C153+C157+C168+C176+C181</f>
        <v>167.03000000000003</v>
      </c>
      <c r="D186" s="189">
        <f t="shared" si="108"/>
        <v>216.05999999999997</v>
      </c>
      <c r="E186" s="189">
        <f t="shared" si="108"/>
        <v>423.80999999999995</v>
      </c>
      <c r="F186" s="189">
        <f t="shared" si="108"/>
        <v>254.29</v>
      </c>
      <c r="G186" s="189">
        <f t="shared" si="108"/>
        <v>324.66</v>
      </c>
      <c r="H186" s="189">
        <f t="shared" si="108"/>
        <v>385.1700000000001</v>
      </c>
      <c r="I186" s="189">
        <f t="shared" si="108"/>
        <v>420.03</v>
      </c>
      <c r="J186" s="189">
        <f t="shared" si="108"/>
        <v>462.033</v>
      </c>
      <c r="K186" s="189">
        <f t="shared" si="108"/>
        <v>508.2363</v>
      </c>
      <c r="L186" s="189">
        <f t="shared" si="108"/>
        <v>559.0599300000001</v>
      </c>
      <c r="M186" s="189">
        <f t="shared" si="108"/>
        <v>614.9659230000002</v>
      </c>
      <c r="N186" s="189">
        <f t="shared" si="108"/>
        <v>676.4625153000002</v>
      </c>
      <c r="O186" s="189">
        <f t="shared" si="108"/>
        <v>744.1087668300004</v>
      </c>
    </row>
    <row r="187" spans="3:15" ht="15">
      <c r="C187" s="188"/>
      <c r="D187" s="188"/>
      <c r="E187" s="188"/>
      <c r="F187" s="188"/>
      <c r="G187" s="188"/>
      <c r="H187" s="188"/>
      <c r="I187" s="188"/>
      <c r="J187" s="188"/>
      <c r="K187" s="188"/>
      <c r="L187" s="188"/>
      <c r="M187" s="188"/>
      <c r="N187" s="188"/>
      <c r="O187" s="188"/>
    </row>
    <row r="188" spans="3:15" ht="15">
      <c r="C188" s="188"/>
      <c r="D188" s="188"/>
      <c r="E188" s="188"/>
      <c r="F188" s="188"/>
      <c r="G188" s="188"/>
      <c r="H188" s="188"/>
      <c r="I188" s="188"/>
      <c r="J188" s="188"/>
      <c r="K188" s="188"/>
      <c r="L188" s="188"/>
      <c r="M188" s="188"/>
      <c r="N188" s="188"/>
      <c r="O188" s="188"/>
    </row>
  </sheetData>
  <sheetProtection/>
  <mergeCells count="12">
    <mergeCell ref="G151:H151"/>
    <mergeCell ref="I151:O151"/>
    <mergeCell ref="A108:O108"/>
    <mergeCell ref="G109:H109"/>
    <mergeCell ref="I109:O109"/>
    <mergeCell ref="A149:H149"/>
    <mergeCell ref="A150:O150"/>
    <mergeCell ref="A3:H3"/>
    <mergeCell ref="A4:O4"/>
    <mergeCell ref="G5:H5"/>
    <mergeCell ref="I5:O5"/>
    <mergeCell ref="A107:H107"/>
  </mergeCells>
  <printOptions horizontalCentered="1"/>
  <pageMargins left="0.15748031496063" right="0.15748031496063" top="0.36" bottom="0.31496062992126" header="0.29" footer="0.15748031496063"/>
  <pageSetup firstPageNumber="131" useFirstPageNumber="1" horizontalDpi="600" verticalDpi="600" orientation="landscape" paperSize="9" scale="73" r:id="rId1"/>
  <headerFooter alignWithMargins="0">
    <oddFooter>&amp;C&amp;P</oddFooter>
  </headerFooter>
  <rowBreaks count="4" manualBreakCount="4">
    <brk id="42" max="255" man="1"/>
    <brk id="74" max="255" man="1"/>
    <brk id="104" max="255" man="1"/>
    <brk id="145" max="255" man="1"/>
  </rowBreaks>
</worksheet>
</file>

<file path=xl/worksheets/sheet25.xml><?xml version="1.0" encoding="utf-8"?>
<worksheet xmlns="http://schemas.openxmlformats.org/spreadsheetml/2006/main" xmlns:r="http://schemas.openxmlformats.org/officeDocument/2006/relationships">
  <dimension ref="A1:E17"/>
  <sheetViews>
    <sheetView zoomScalePageLayoutView="0" workbookViewId="0" topLeftCell="A1">
      <selection activeCell="P7" sqref="P7"/>
    </sheetView>
  </sheetViews>
  <sheetFormatPr defaultColWidth="9.140625" defaultRowHeight="15"/>
  <cols>
    <col min="1" max="1" width="7.57421875" style="137" customWidth="1"/>
    <col min="2" max="2" width="115.28125" style="137" customWidth="1"/>
    <col min="3" max="16384" width="9.140625" style="137" customWidth="1"/>
  </cols>
  <sheetData>
    <row r="1" ht="18.75">
      <c r="B1" s="244" t="s">
        <v>678</v>
      </c>
    </row>
    <row r="2" spans="1:5" ht="30" customHeight="1">
      <c r="A2" s="243" t="s">
        <v>1</v>
      </c>
      <c r="B2" s="240"/>
      <c r="C2" s="240"/>
      <c r="D2" s="240"/>
      <c r="E2" s="240"/>
    </row>
    <row r="3" spans="1:5" ht="30" customHeight="1">
      <c r="A3" s="242">
        <v>1</v>
      </c>
      <c r="B3" s="241" t="s">
        <v>677</v>
      </c>
      <c r="C3" s="240"/>
      <c r="D3" s="240"/>
      <c r="E3" s="240"/>
    </row>
    <row r="4" spans="1:5" ht="30" customHeight="1">
      <c r="A4" s="242">
        <v>2</v>
      </c>
      <c r="B4" s="241" t="s">
        <v>676</v>
      </c>
      <c r="C4" s="240"/>
      <c r="D4" s="240"/>
      <c r="E4" s="240"/>
    </row>
    <row r="5" spans="1:5" ht="30" customHeight="1">
      <c r="A5" s="242">
        <v>3</v>
      </c>
      <c r="B5" s="241" t="s">
        <v>675</v>
      </c>
      <c r="C5" s="240"/>
      <c r="D5" s="240"/>
      <c r="E5" s="240"/>
    </row>
    <row r="6" spans="1:5" ht="30" customHeight="1">
      <c r="A6" s="242">
        <v>4</v>
      </c>
      <c r="B6" s="241" t="s">
        <v>674</v>
      </c>
      <c r="C6" s="240"/>
      <c r="D6" s="240"/>
      <c r="E6" s="240"/>
    </row>
    <row r="7" spans="1:5" ht="30" customHeight="1">
      <c r="A7" s="242">
        <v>5</v>
      </c>
      <c r="B7" s="241" t="s">
        <v>673</v>
      </c>
      <c r="C7" s="240"/>
      <c r="D7" s="240"/>
      <c r="E7" s="240"/>
    </row>
    <row r="8" spans="1:5" ht="30" customHeight="1">
      <c r="A8" s="240"/>
      <c r="B8" s="240"/>
      <c r="C8" s="240"/>
      <c r="D8" s="240"/>
      <c r="E8" s="240"/>
    </row>
    <row r="9" spans="1:5" ht="30" customHeight="1">
      <c r="A9" s="243" t="s">
        <v>672</v>
      </c>
      <c r="B9" s="240"/>
      <c r="C9" s="240"/>
      <c r="D9" s="240"/>
      <c r="E9" s="240"/>
    </row>
    <row r="10" spans="1:5" ht="30" customHeight="1">
      <c r="A10" s="242">
        <v>1</v>
      </c>
      <c r="B10" s="241" t="s">
        <v>671</v>
      </c>
      <c r="C10" s="240"/>
      <c r="D10" s="240"/>
      <c r="E10" s="240"/>
    </row>
    <row r="11" spans="1:5" ht="30" customHeight="1">
      <c r="A11" s="242">
        <v>2</v>
      </c>
      <c r="B11" s="241" t="s">
        <v>670</v>
      </c>
      <c r="C11" s="240"/>
      <c r="D11" s="240"/>
      <c r="E11" s="240"/>
    </row>
    <row r="12" spans="1:5" ht="30" customHeight="1">
      <c r="A12" s="242">
        <v>3</v>
      </c>
      <c r="B12" s="241" t="s">
        <v>669</v>
      </c>
      <c r="C12" s="240"/>
      <c r="D12" s="240"/>
      <c r="E12" s="240"/>
    </row>
    <row r="13" spans="1:5" ht="30" customHeight="1">
      <c r="A13" s="242">
        <v>4</v>
      </c>
      <c r="B13" s="241" t="s">
        <v>668</v>
      </c>
      <c r="C13" s="240"/>
      <c r="D13" s="240"/>
      <c r="E13" s="240"/>
    </row>
    <row r="14" spans="1:5" ht="30" customHeight="1">
      <c r="A14" s="242">
        <v>5</v>
      </c>
      <c r="B14" s="241" t="s">
        <v>667</v>
      </c>
      <c r="C14" s="240"/>
      <c r="D14" s="240"/>
      <c r="E14" s="240"/>
    </row>
    <row r="15" spans="1:5" ht="30" customHeight="1">
      <c r="A15" s="242">
        <v>6</v>
      </c>
      <c r="B15" s="241" t="s">
        <v>666</v>
      </c>
      <c r="C15" s="240"/>
      <c r="D15" s="240"/>
      <c r="E15" s="240"/>
    </row>
    <row r="16" ht="15">
      <c r="A16" s="137" t="s">
        <v>665</v>
      </c>
    </row>
    <row r="17" ht="15">
      <c r="A17" s="137" t="s">
        <v>664</v>
      </c>
    </row>
  </sheetData>
  <sheetProtection/>
  <printOptions horizontalCentered="1"/>
  <pageMargins left="0.551181102362205" right="0.590551181102362" top="0.669291338582677" bottom="0.866141732283465" header="0.511811023622047" footer="0.511811023622047"/>
  <pageSetup firstPageNumber="136" useFirstPageNumber="1" horizontalDpi="600" verticalDpi="600" orientation="landscape" paperSize="9" r:id="rId1"/>
  <headerFooter alignWithMargins="0">
    <oddFooter>&amp;C&amp;P&amp;R&amp;A</oddFooter>
  </headerFooter>
</worksheet>
</file>

<file path=xl/worksheets/sheet26.xml><?xml version="1.0" encoding="utf-8"?>
<worksheet xmlns="http://schemas.openxmlformats.org/spreadsheetml/2006/main" xmlns:r="http://schemas.openxmlformats.org/officeDocument/2006/relationships">
  <dimension ref="A1:E17"/>
  <sheetViews>
    <sheetView zoomScalePageLayoutView="0" workbookViewId="0" topLeftCell="A1">
      <selection activeCell="P7" sqref="P7"/>
    </sheetView>
  </sheetViews>
  <sheetFormatPr defaultColWidth="9.140625" defaultRowHeight="15"/>
  <cols>
    <col min="1" max="1" width="7.57421875" style="245" customWidth="1"/>
    <col min="2" max="2" width="106.421875" style="245" customWidth="1"/>
    <col min="3" max="16384" width="9.140625" style="245" customWidth="1"/>
  </cols>
  <sheetData>
    <row r="1" ht="18.75">
      <c r="B1" s="251" t="s">
        <v>690</v>
      </c>
    </row>
    <row r="2" spans="1:5" ht="30" customHeight="1">
      <c r="A2" s="250" t="s">
        <v>0</v>
      </c>
      <c r="B2" s="246"/>
      <c r="C2" s="246"/>
      <c r="D2" s="246"/>
      <c r="E2" s="246"/>
    </row>
    <row r="3" spans="1:5" ht="70.5" customHeight="1">
      <c r="A3" s="248">
        <v>1</v>
      </c>
      <c r="B3" s="249" t="s">
        <v>689</v>
      </c>
      <c r="C3" s="246"/>
      <c r="D3" s="246"/>
      <c r="E3" s="246"/>
    </row>
    <row r="4" spans="1:5" ht="51" customHeight="1">
      <c r="A4" s="248">
        <v>2</v>
      </c>
      <c r="B4" s="249" t="s">
        <v>688</v>
      </c>
      <c r="C4" s="246"/>
      <c r="D4" s="246"/>
      <c r="E4" s="246"/>
    </row>
    <row r="5" spans="1:5" ht="27.75" customHeight="1">
      <c r="A5" s="248">
        <v>3</v>
      </c>
      <c r="B5" s="247" t="s">
        <v>687</v>
      </c>
      <c r="C5" s="246"/>
      <c r="D5" s="246"/>
      <c r="E5" s="246"/>
    </row>
    <row r="6" spans="1:5" ht="26.25" customHeight="1">
      <c r="A6" s="248">
        <v>4</v>
      </c>
      <c r="B6" s="247" t="s">
        <v>686</v>
      </c>
      <c r="C6" s="246"/>
      <c r="D6" s="246"/>
      <c r="E6" s="246"/>
    </row>
    <row r="7" spans="1:5" ht="27.75" customHeight="1">
      <c r="A7" s="248">
        <v>5</v>
      </c>
      <c r="B7" s="247" t="s">
        <v>685</v>
      </c>
      <c r="C7" s="246"/>
      <c r="D7" s="246"/>
      <c r="E7" s="246"/>
    </row>
    <row r="8" spans="1:5" ht="16.5" customHeight="1">
      <c r="A8" s="246"/>
      <c r="B8" s="246"/>
      <c r="C8" s="246"/>
      <c r="D8" s="246"/>
      <c r="E8" s="246"/>
    </row>
    <row r="9" spans="1:5" ht="30" customHeight="1">
      <c r="A9" s="250" t="s">
        <v>672</v>
      </c>
      <c r="B9" s="246"/>
      <c r="C9" s="246"/>
      <c r="D9" s="246"/>
      <c r="E9" s="246"/>
    </row>
    <row r="10" spans="1:5" ht="30" customHeight="1">
      <c r="A10" s="248">
        <v>1</v>
      </c>
      <c r="B10" s="247" t="s">
        <v>684</v>
      </c>
      <c r="C10" s="246"/>
      <c r="D10" s="246"/>
      <c r="E10" s="246"/>
    </row>
    <row r="11" spans="1:5" ht="42.75" customHeight="1">
      <c r="A11" s="248">
        <v>2</v>
      </c>
      <c r="B11" s="249" t="s">
        <v>683</v>
      </c>
      <c r="C11" s="246"/>
      <c r="D11" s="246"/>
      <c r="E11" s="246"/>
    </row>
    <row r="12" spans="1:5" ht="30" customHeight="1">
      <c r="A12" s="248">
        <v>3</v>
      </c>
      <c r="B12" s="247" t="s">
        <v>682</v>
      </c>
      <c r="C12" s="246"/>
      <c r="D12" s="246"/>
      <c r="E12" s="246"/>
    </row>
    <row r="13" spans="1:5" ht="30" customHeight="1">
      <c r="A13" s="248">
        <v>4</v>
      </c>
      <c r="B13" s="247" t="s">
        <v>681</v>
      </c>
      <c r="C13" s="246"/>
      <c r="D13" s="246"/>
      <c r="E13" s="246"/>
    </row>
    <row r="14" spans="1:5" ht="41.25" customHeight="1">
      <c r="A14" s="248">
        <v>5</v>
      </c>
      <c r="B14" s="249" t="s">
        <v>680</v>
      </c>
      <c r="C14" s="246"/>
      <c r="D14" s="246"/>
      <c r="E14" s="246"/>
    </row>
    <row r="15" spans="1:5" ht="30" customHeight="1">
      <c r="A15" s="248">
        <v>6</v>
      </c>
      <c r="B15" s="247" t="s">
        <v>679</v>
      </c>
      <c r="C15" s="246"/>
      <c r="D15" s="246"/>
      <c r="E15" s="246"/>
    </row>
    <row r="16" ht="15">
      <c r="A16" s="245" t="s">
        <v>665</v>
      </c>
    </row>
    <row r="17" ht="15">
      <c r="A17" s="245" t="s">
        <v>664</v>
      </c>
    </row>
  </sheetData>
  <sheetProtection/>
  <printOptions horizontalCentered="1"/>
  <pageMargins left="0.551181102362205" right="0.590551181102362" top="0.51" bottom="0.58" header="0.38" footer="0.33"/>
  <pageSetup firstPageNumber="137" useFirstPageNumber="1" horizontalDpi="600" verticalDpi="600" orientation="landscape" paperSize="9" r:id="rId1"/>
  <headerFooter alignWithMargins="0">
    <oddFooter>&amp;C&amp;P&amp;R&amp;A</oddFooter>
  </headerFooter>
</worksheet>
</file>

<file path=xl/worksheets/sheet3.xml><?xml version="1.0" encoding="utf-8"?>
<worksheet xmlns="http://schemas.openxmlformats.org/spreadsheetml/2006/main" xmlns:r="http://schemas.openxmlformats.org/officeDocument/2006/relationships">
  <dimension ref="A1:J46"/>
  <sheetViews>
    <sheetView zoomScalePageLayoutView="0" workbookViewId="0" topLeftCell="A28">
      <selection activeCell="A36" sqref="A36:J36"/>
    </sheetView>
  </sheetViews>
  <sheetFormatPr defaultColWidth="9.140625" defaultRowHeight="15"/>
  <cols>
    <col min="2" max="2" width="30.7109375" style="0" bestFit="1" customWidth="1"/>
    <col min="3" max="3" width="12.57421875" style="0" customWidth="1"/>
    <col min="4" max="4" width="11.8515625" style="0" customWidth="1"/>
    <col min="5" max="5" width="14.57421875" style="0" customWidth="1"/>
    <col min="6" max="6" width="11.7109375" style="0" customWidth="1"/>
  </cols>
  <sheetData>
    <row r="1" spans="1:10" ht="18">
      <c r="A1" s="287" t="s">
        <v>60</v>
      </c>
      <c r="B1" s="287"/>
      <c r="C1" s="287"/>
      <c r="D1" s="287"/>
      <c r="E1" s="287"/>
      <c r="F1" s="287"/>
      <c r="G1" s="287"/>
      <c r="H1" s="1"/>
      <c r="I1" s="1"/>
      <c r="J1" s="1"/>
    </row>
    <row r="2" spans="1:10" ht="15.75">
      <c r="A2" s="286" t="s">
        <v>59</v>
      </c>
      <c r="B2" s="286"/>
      <c r="C2" s="286"/>
      <c r="D2" s="286"/>
      <c r="E2" s="286"/>
      <c r="F2" s="286"/>
      <c r="G2" s="286"/>
      <c r="H2" s="1"/>
      <c r="I2" s="1"/>
      <c r="J2" s="1"/>
    </row>
    <row r="3" spans="1:10" ht="15.75">
      <c r="A3" s="286" t="s">
        <v>58</v>
      </c>
      <c r="B3" s="286"/>
      <c r="C3" s="286"/>
      <c r="D3" s="286"/>
      <c r="E3" s="286"/>
      <c r="F3" s="286"/>
      <c r="G3" s="286"/>
      <c r="H3" s="1"/>
      <c r="I3" s="1"/>
      <c r="J3" s="1"/>
    </row>
    <row r="4" spans="1:10" ht="15">
      <c r="A4" s="12">
        <v>1</v>
      </c>
      <c r="B4" s="285" t="s">
        <v>57</v>
      </c>
      <c r="C4" s="285"/>
      <c r="D4" s="285"/>
      <c r="E4" s="285"/>
      <c r="F4" s="285"/>
      <c r="G4" s="285"/>
      <c r="H4" s="285"/>
      <c r="I4" s="285"/>
      <c r="J4" s="285"/>
    </row>
    <row r="5" spans="1:10" ht="15.75">
      <c r="A5" s="12"/>
      <c r="B5" s="26" t="s">
        <v>88</v>
      </c>
      <c r="C5" s="27"/>
      <c r="D5" s="27"/>
      <c r="E5" s="288" t="s">
        <v>87</v>
      </c>
      <c r="F5" s="288"/>
      <c r="G5" s="288"/>
      <c r="H5" s="13"/>
      <c r="I5" s="13"/>
      <c r="J5" s="13"/>
    </row>
    <row r="6" spans="1:10" ht="15">
      <c r="A6" s="12">
        <v>2</v>
      </c>
      <c r="B6" s="285" t="s">
        <v>86</v>
      </c>
      <c r="C6" s="285"/>
      <c r="D6" s="285"/>
      <c r="E6" s="285"/>
      <c r="F6" s="285"/>
      <c r="G6" s="285"/>
      <c r="H6" s="285"/>
      <c r="I6" s="285"/>
      <c r="J6" s="285"/>
    </row>
    <row r="7" spans="1:10" ht="15">
      <c r="A7" s="12" t="s">
        <v>85</v>
      </c>
      <c r="B7" s="285" t="s">
        <v>52</v>
      </c>
      <c r="C7" s="285"/>
      <c r="D7" s="285"/>
      <c r="E7" s="285"/>
      <c r="F7" s="285"/>
      <c r="G7" s="285"/>
      <c r="H7" s="285"/>
      <c r="I7" s="285"/>
      <c r="J7" s="285"/>
    </row>
    <row r="8" spans="1:10" ht="15.75">
      <c r="A8" s="12"/>
      <c r="B8" s="289" t="s">
        <v>84</v>
      </c>
      <c r="C8" s="289"/>
      <c r="D8" s="289"/>
      <c r="E8" s="289"/>
      <c r="F8" s="289" t="s">
        <v>83</v>
      </c>
      <c r="G8" s="289"/>
      <c r="H8" s="289"/>
      <c r="I8" s="13"/>
      <c r="J8" s="13"/>
    </row>
    <row r="9" spans="1:10" ht="15">
      <c r="A9" s="12"/>
      <c r="B9" s="290" t="s">
        <v>82</v>
      </c>
      <c r="C9" s="290"/>
      <c r="D9" s="290"/>
      <c r="E9" s="290"/>
      <c r="F9" s="290"/>
      <c r="G9" s="290"/>
      <c r="H9" s="290"/>
      <c r="I9" s="290"/>
      <c r="J9" s="290"/>
    </row>
    <row r="10" spans="1:10" ht="15">
      <c r="A10" s="12" t="s">
        <v>81</v>
      </c>
      <c r="B10" s="285" t="s">
        <v>50</v>
      </c>
      <c r="C10" s="285"/>
      <c r="D10" s="285"/>
      <c r="E10" s="285"/>
      <c r="F10" s="285"/>
      <c r="G10" s="285"/>
      <c r="H10" s="285"/>
      <c r="I10" s="285"/>
      <c r="J10" s="285"/>
    </row>
    <row r="11" spans="1:10" ht="15.75">
      <c r="A11" s="12"/>
      <c r="B11" s="291" t="s">
        <v>80</v>
      </c>
      <c r="C11" s="291"/>
      <c r="D11" s="288" t="s">
        <v>79</v>
      </c>
      <c r="E11" s="288"/>
      <c r="F11" s="288"/>
      <c r="G11" s="292"/>
      <c r="H11" s="292"/>
      <c r="I11" s="292"/>
      <c r="J11" s="292"/>
    </row>
    <row r="12" spans="1:10" ht="15.75">
      <c r="A12" s="12"/>
      <c r="B12" s="11"/>
      <c r="C12" s="11"/>
      <c r="D12" s="13"/>
      <c r="E12" s="13"/>
      <c r="F12" s="13"/>
      <c r="G12" s="13"/>
      <c r="H12" s="13"/>
      <c r="I12" s="13"/>
      <c r="J12" s="13"/>
    </row>
    <row r="13" spans="1:10" ht="15.75">
      <c r="A13" s="12">
        <v>4</v>
      </c>
      <c r="B13" s="288" t="s">
        <v>78</v>
      </c>
      <c r="C13" s="288"/>
      <c r="D13" s="288"/>
      <c r="E13" s="288"/>
      <c r="F13" s="288"/>
      <c r="G13" s="288"/>
      <c r="H13" s="288"/>
      <c r="I13" s="288"/>
      <c r="J13" s="288"/>
    </row>
    <row r="14" spans="1:10" ht="15">
      <c r="A14" s="8" t="s">
        <v>38</v>
      </c>
      <c r="B14" s="7" t="s">
        <v>37</v>
      </c>
      <c r="C14" s="24" t="s">
        <v>77</v>
      </c>
      <c r="D14" s="24" t="s">
        <v>76</v>
      </c>
      <c r="E14" s="4" t="s">
        <v>36</v>
      </c>
      <c r="F14" s="4" t="s">
        <v>35</v>
      </c>
      <c r="G14" s="4" t="s">
        <v>34</v>
      </c>
      <c r="H14" s="4" t="s">
        <v>33</v>
      </c>
      <c r="I14" s="4" t="s">
        <v>32</v>
      </c>
      <c r="J14" s="4" t="s">
        <v>31</v>
      </c>
    </row>
    <row r="15" spans="1:10" ht="15">
      <c r="A15" s="8" t="s">
        <v>18</v>
      </c>
      <c r="B15" s="7" t="s">
        <v>17</v>
      </c>
      <c r="C15" s="7"/>
      <c r="D15" s="7"/>
      <c r="E15" s="2"/>
      <c r="F15" s="2"/>
      <c r="G15" s="2"/>
      <c r="H15" s="2"/>
      <c r="I15" s="2"/>
      <c r="J15" s="2"/>
    </row>
    <row r="16" spans="1:10" ht="15">
      <c r="A16" s="6" t="s">
        <v>16</v>
      </c>
      <c r="B16" s="5" t="s">
        <v>75</v>
      </c>
      <c r="C16" s="5"/>
      <c r="D16" s="5"/>
      <c r="E16" s="2"/>
      <c r="F16" s="2"/>
      <c r="G16" s="2"/>
      <c r="H16" s="2"/>
      <c r="I16" s="2"/>
      <c r="J16" s="2"/>
    </row>
    <row r="17" spans="1:10" ht="15">
      <c r="A17" s="4" t="s">
        <v>10</v>
      </c>
      <c r="B17" s="2" t="s">
        <v>9</v>
      </c>
      <c r="C17" s="2"/>
      <c r="D17" s="2"/>
      <c r="E17" s="2"/>
      <c r="F17" s="2"/>
      <c r="G17" s="2"/>
      <c r="H17" s="2"/>
      <c r="I17" s="2"/>
      <c r="J17" s="2"/>
    </row>
    <row r="18" spans="1:10" ht="15">
      <c r="A18" s="4" t="s">
        <v>8</v>
      </c>
      <c r="B18" s="2" t="s">
        <v>7</v>
      </c>
      <c r="C18" s="2"/>
      <c r="D18" s="2"/>
      <c r="E18" s="2"/>
      <c r="F18" s="2"/>
      <c r="G18" s="2"/>
      <c r="H18" s="2"/>
      <c r="I18" s="2"/>
      <c r="J18" s="2"/>
    </row>
    <row r="19" spans="1:10" ht="15">
      <c r="A19" s="4" t="s">
        <v>6</v>
      </c>
      <c r="B19" s="2" t="s">
        <v>5</v>
      </c>
      <c r="C19" s="2"/>
      <c r="D19" s="2"/>
      <c r="E19" s="2"/>
      <c r="F19" s="2"/>
      <c r="G19" s="2"/>
      <c r="H19" s="2"/>
      <c r="I19" s="2"/>
      <c r="J19" s="2"/>
    </row>
    <row r="20" spans="1:10" ht="15">
      <c r="A20" s="4" t="s">
        <v>4</v>
      </c>
      <c r="B20" s="2" t="s">
        <v>3</v>
      </c>
      <c r="C20" s="2"/>
      <c r="D20" s="2"/>
      <c r="E20" s="2"/>
      <c r="F20" s="2"/>
      <c r="G20" s="2"/>
      <c r="H20" s="2"/>
      <c r="I20" s="2"/>
      <c r="J20" s="2"/>
    </row>
    <row r="21" spans="1:10" ht="15">
      <c r="A21" s="4"/>
      <c r="B21" s="2" t="s">
        <v>2</v>
      </c>
      <c r="C21" s="2"/>
      <c r="D21" s="2"/>
      <c r="E21" s="2"/>
      <c r="F21" s="2"/>
      <c r="G21" s="2"/>
      <c r="H21" s="2"/>
      <c r="I21" s="2"/>
      <c r="J21" s="2"/>
    </row>
    <row r="22" spans="1:10" ht="15">
      <c r="A22" s="6" t="s">
        <v>14</v>
      </c>
      <c r="B22" s="5" t="s">
        <v>15</v>
      </c>
      <c r="C22" s="5"/>
      <c r="D22" s="5"/>
      <c r="E22" s="2"/>
      <c r="F22" s="2"/>
      <c r="G22" s="2"/>
      <c r="H22" s="2"/>
      <c r="I22" s="2"/>
      <c r="J22" s="2"/>
    </row>
    <row r="23" spans="1:10" ht="15">
      <c r="A23" s="4" t="s">
        <v>10</v>
      </c>
      <c r="B23" s="2" t="s">
        <v>9</v>
      </c>
      <c r="C23" s="2">
        <v>78</v>
      </c>
      <c r="D23" s="2">
        <v>71</v>
      </c>
      <c r="E23" s="22">
        <v>119</v>
      </c>
      <c r="F23" s="22">
        <v>142</v>
      </c>
      <c r="G23" s="25">
        <v>159</v>
      </c>
      <c r="H23" s="22">
        <v>268</v>
      </c>
      <c r="I23" s="22">
        <v>633</v>
      </c>
      <c r="J23" s="22">
        <v>690</v>
      </c>
    </row>
    <row r="24" spans="1:10" ht="15">
      <c r="A24" s="4" t="s">
        <v>8</v>
      </c>
      <c r="B24" s="2" t="s">
        <v>7</v>
      </c>
      <c r="C24" s="2"/>
      <c r="D24" s="2"/>
      <c r="E24" s="22"/>
      <c r="F24" s="22"/>
      <c r="G24" s="25"/>
      <c r="H24" s="22"/>
      <c r="I24" s="1"/>
      <c r="J24" s="22"/>
    </row>
    <row r="25" spans="1:10" ht="15">
      <c r="A25" s="4" t="s">
        <v>6</v>
      </c>
      <c r="B25" s="2" t="s">
        <v>5</v>
      </c>
      <c r="C25" s="2">
        <v>174</v>
      </c>
      <c r="D25" s="2">
        <v>158</v>
      </c>
      <c r="E25" s="22">
        <v>274</v>
      </c>
      <c r="F25" s="22">
        <v>328</v>
      </c>
      <c r="G25" s="25">
        <v>367</v>
      </c>
      <c r="H25" s="22">
        <v>625</v>
      </c>
      <c r="I25" s="22">
        <v>1412</v>
      </c>
      <c r="J25" s="22">
        <v>1542</v>
      </c>
    </row>
    <row r="26" spans="1:10" ht="15">
      <c r="A26" s="4" t="s">
        <v>4</v>
      </c>
      <c r="B26" s="2" t="s">
        <v>3</v>
      </c>
      <c r="C26" s="2"/>
      <c r="D26" s="2"/>
      <c r="E26" s="22"/>
      <c r="F26" s="22"/>
      <c r="G26" s="25"/>
      <c r="H26" s="22"/>
      <c r="I26" s="22"/>
      <c r="J26" s="22"/>
    </row>
    <row r="27" spans="1:10" ht="15">
      <c r="A27" s="4"/>
      <c r="B27" s="2" t="s">
        <v>2</v>
      </c>
      <c r="C27" s="7">
        <f aca="true" t="shared" si="0" ref="C27:J27">SUM(C23:C26)</f>
        <v>252</v>
      </c>
      <c r="D27" s="7">
        <f t="shared" si="0"/>
        <v>229</v>
      </c>
      <c r="E27" s="21">
        <f t="shared" si="0"/>
        <v>393</v>
      </c>
      <c r="F27" s="21">
        <f t="shared" si="0"/>
        <v>470</v>
      </c>
      <c r="G27" s="21">
        <f t="shared" si="0"/>
        <v>526</v>
      </c>
      <c r="H27" s="21">
        <f t="shared" si="0"/>
        <v>893</v>
      </c>
      <c r="I27" s="21">
        <f t="shared" si="0"/>
        <v>2045</v>
      </c>
      <c r="J27" s="21">
        <f t="shared" si="0"/>
        <v>2232</v>
      </c>
    </row>
    <row r="28" spans="1:10" ht="15">
      <c r="A28" s="6" t="s">
        <v>12</v>
      </c>
      <c r="B28" s="5" t="s">
        <v>13</v>
      </c>
      <c r="C28" s="5"/>
      <c r="D28" s="5"/>
      <c r="E28" s="22"/>
      <c r="F28" s="22"/>
      <c r="G28" s="22"/>
      <c r="H28" s="22"/>
      <c r="I28" s="22"/>
      <c r="J28" s="22"/>
    </row>
    <row r="29" spans="1:10" ht="15">
      <c r="A29" s="4" t="s">
        <v>10</v>
      </c>
      <c r="B29" s="2" t="s">
        <v>9</v>
      </c>
      <c r="C29" s="2">
        <v>470</v>
      </c>
      <c r="D29" s="2">
        <v>551</v>
      </c>
      <c r="E29" s="22">
        <v>340</v>
      </c>
      <c r="F29" s="22">
        <v>299</v>
      </c>
      <c r="G29" s="22">
        <v>410</v>
      </c>
      <c r="H29" s="22">
        <v>912</v>
      </c>
      <c r="I29" s="22">
        <v>660</v>
      </c>
      <c r="J29" s="22">
        <v>668</v>
      </c>
    </row>
    <row r="30" spans="1:10" ht="15">
      <c r="A30" s="4" t="s">
        <v>8</v>
      </c>
      <c r="B30" s="2" t="s">
        <v>7</v>
      </c>
      <c r="C30" s="2"/>
      <c r="D30" s="2"/>
      <c r="E30" s="22"/>
      <c r="F30" s="22"/>
      <c r="G30" s="22"/>
      <c r="H30" s="22"/>
      <c r="I30" s="22"/>
      <c r="J30" s="22"/>
    </row>
    <row r="31" spans="1:10" ht="15">
      <c r="A31" s="4" t="s">
        <v>6</v>
      </c>
      <c r="B31" s="2" t="s">
        <v>5</v>
      </c>
      <c r="C31" s="2">
        <v>285</v>
      </c>
      <c r="D31" s="2">
        <v>200</v>
      </c>
      <c r="E31" s="22">
        <v>240</v>
      </c>
      <c r="F31" s="22">
        <v>63</v>
      </c>
      <c r="G31" s="22">
        <v>151</v>
      </c>
      <c r="H31" s="22">
        <v>88</v>
      </c>
      <c r="I31" s="22">
        <v>1319</v>
      </c>
      <c r="J31" s="22">
        <v>1389</v>
      </c>
    </row>
    <row r="32" spans="1:10" ht="15">
      <c r="A32" s="4" t="s">
        <v>4</v>
      </c>
      <c r="B32" s="2" t="s">
        <v>3</v>
      </c>
      <c r="C32" s="2"/>
      <c r="D32" s="2"/>
      <c r="E32" s="22"/>
      <c r="F32" s="22"/>
      <c r="G32" s="22"/>
      <c r="H32" s="22"/>
      <c r="I32" s="22"/>
      <c r="J32" s="22"/>
    </row>
    <row r="33" spans="1:10" ht="15">
      <c r="A33" s="4"/>
      <c r="B33" s="2" t="s">
        <v>2</v>
      </c>
      <c r="C33" s="7">
        <f aca="true" t="shared" si="1" ref="C33:J33">SUM(C29:C32)</f>
        <v>755</v>
      </c>
      <c r="D33" s="7">
        <f t="shared" si="1"/>
        <v>751</v>
      </c>
      <c r="E33" s="21">
        <f t="shared" si="1"/>
        <v>580</v>
      </c>
      <c r="F33" s="21">
        <f t="shared" si="1"/>
        <v>362</v>
      </c>
      <c r="G33" s="21">
        <f t="shared" si="1"/>
        <v>561</v>
      </c>
      <c r="H33" s="21">
        <f t="shared" si="1"/>
        <v>1000</v>
      </c>
      <c r="I33" s="21">
        <f t="shared" si="1"/>
        <v>1979</v>
      </c>
      <c r="J33" s="21">
        <f t="shared" si="1"/>
        <v>2057</v>
      </c>
    </row>
    <row r="34" spans="1:10" ht="15">
      <c r="A34" s="6" t="s">
        <v>74</v>
      </c>
      <c r="B34" s="5" t="s">
        <v>11</v>
      </c>
      <c r="C34" s="5"/>
      <c r="D34" s="5"/>
      <c r="E34" s="22"/>
      <c r="F34" s="22"/>
      <c r="G34" s="22"/>
      <c r="H34" s="22"/>
      <c r="I34" s="22"/>
      <c r="J34" s="22"/>
    </row>
    <row r="35" spans="1:10" ht="15">
      <c r="A35" s="4" t="s">
        <v>73</v>
      </c>
      <c r="B35" s="24" t="s">
        <v>72</v>
      </c>
      <c r="C35" s="24">
        <v>1197</v>
      </c>
      <c r="D35" s="24">
        <v>502</v>
      </c>
      <c r="E35" s="22">
        <v>1458</v>
      </c>
      <c r="F35" s="22">
        <v>1506</v>
      </c>
      <c r="G35" s="22">
        <v>1232</v>
      </c>
      <c r="H35" s="22">
        <v>0</v>
      </c>
      <c r="I35" s="22">
        <v>0</v>
      </c>
      <c r="J35" s="22">
        <v>0</v>
      </c>
    </row>
    <row r="36" spans="1:10" ht="15">
      <c r="A36" s="4" t="s">
        <v>71</v>
      </c>
      <c r="B36" s="2" t="s">
        <v>70</v>
      </c>
      <c r="C36" s="2">
        <v>1787</v>
      </c>
      <c r="D36" s="2">
        <v>2085</v>
      </c>
      <c r="E36" s="22">
        <v>2125</v>
      </c>
      <c r="F36" s="22">
        <v>4613</v>
      </c>
      <c r="G36" s="22">
        <v>3220</v>
      </c>
      <c r="H36" s="22">
        <v>1116</v>
      </c>
      <c r="I36" s="22">
        <v>2256</v>
      </c>
      <c r="J36" s="23">
        <v>2020</v>
      </c>
    </row>
    <row r="37" spans="1:10" s="47" customFormat="1" ht="46.5" customHeight="1">
      <c r="A37" s="398"/>
      <c r="B37" s="10"/>
      <c r="C37" s="10"/>
      <c r="D37" s="10"/>
      <c r="E37" s="399"/>
      <c r="F37" s="399"/>
      <c r="G37" s="399"/>
      <c r="H37" s="399"/>
      <c r="I37" s="399"/>
      <c r="J37" s="400"/>
    </row>
    <row r="38" spans="1:10" s="47" customFormat="1" ht="46.5" customHeight="1">
      <c r="A38" s="398"/>
      <c r="B38" s="10"/>
      <c r="C38" s="10"/>
      <c r="D38" s="10"/>
      <c r="E38" s="399"/>
      <c r="F38" s="399"/>
      <c r="G38" s="399"/>
      <c r="H38" s="399"/>
      <c r="I38" s="399"/>
      <c r="J38" s="400"/>
    </row>
    <row r="39" spans="1:10" ht="15">
      <c r="A39" s="4" t="s">
        <v>69</v>
      </c>
      <c r="B39" s="2" t="s">
        <v>68</v>
      </c>
      <c r="C39" s="2">
        <v>183</v>
      </c>
      <c r="D39" s="2">
        <v>1824</v>
      </c>
      <c r="E39" s="22">
        <v>484</v>
      </c>
      <c r="F39" s="22">
        <v>829</v>
      </c>
      <c r="G39" s="22">
        <v>1050</v>
      </c>
      <c r="H39" s="22">
        <v>202</v>
      </c>
      <c r="I39" s="22">
        <v>0</v>
      </c>
      <c r="J39" s="22">
        <v>0</v>
      </c>
    </row>
    <row r="40" spans="1:10" ht="15">
      <c r="A40" s="4" t="s">
        <v>8</v>
      </c>
      <c r="B40" s="2" t="s">
        <v>7</v>
      </c>
      <c r="C40" s="2"/>
      <c r="D40" s="2"/>
      <c r="E40" s="22"/>
      <c r="F40" s="22"/>
      <c r="G40" s="22"/>
      <c r="H40" s="22"/>
      <c r="I40" s="22"/>
      <c r="J40" s="22"/>
    </row>
    <row r="41" spans="1:10" ht="15">
      <c r="A41" s="4" t="s">
        <v>67</v>
      </c>
      <c r="B41" s="2" t="s">
        <v>66</v>
      </c>
      <c r="C41" s="2">
        <v>615</v>
      </c>
      <c r="D41" s="2">
        <v>722</v>
      </c>
      <c r="E41" s="22">
        <v>1124</v>
      </c>
      <c r="F41" s="22">
        <v>1893</v>
      </c>
      <c r="G41" s="22">
        <v>2215</v>
      </c>
      <c r="H41" s="22">
        <v>2317</v>
      </c>
      <c r="I41" s="22">
        <v>2511</v>
      </c>
      <c r="J41" s="22">
        <v>2895</v>
      </c>
    </row>
    <row r="42" spans="1:10" ht="15">
      <c r="A42" s="4" t="s">
        <v>65</v>
      </c>
      <c r="B42" s="2" t="s">
        <v>64</v>
      </c>
      <c r="C42" s="2">
        <v>8135</v>
      </c>
      <c r="D42" s="2">
        <v>11740</v>
      </c>
      <c r="E42" s="22">
        <v>7653</v>
      </c>
      <c r="F42" s="22">
        <v>10827</v>
      </c>
      <c r="G42" s="22">
        <v>7365</v>
      </c>
      <c r="H42" s="22">
        <v>7815</v>
      </c>
      <c r="I42" s="22">
        <v>11495</v>
      </c>
      <c r="J42" s="22">
        <v>9000</v>
      </c>
    </row>
    <row r="43" spans="1:10" ht="15">
      <c r="A43" s="4" t="s">
        <v>63</v>
      </c>
      <c r="B43" s="2" t="s">
        <v>62</v>
      </c>
      <c r="C43" s="2"/>
      <c r="D43" s="2">
        <v>159</v>
      </c>
      <c r="E43" s="22">
        <v>30</v>
      </c>
      <c r="F43" s="22"/>
      <c r="G43" s="22"/>
      <c r="H43" s="22"/>
      <c r="I43" s="22"/>
      <c r="J43" s="22"/>
    </row>
    <row r="44" spans="1:10" ht="15">
      <c r="A44" s="4" t="s">
        <v>4</v>
      </c>
      <c r="B44" s="2" t="s">
        <v>3</v>
      </c>
      <c r="C44" s="2"/>
      <c r="D44" s="2"/>
      <c r="E44" s="22"/>
      <c r="F44" s="22"/>
      <c r="G44" s="22"/>
      <c r="H44" s="22"/>
      <c r="I44" s="22"/>
      <c r="J44" s="22"/>
    </row>
    <row r="45" spans="1:10" ht="15">
      <c r="A45" s="4"/>
      <c r="B45" s="7" t="s">
        <v>2</v>
      </c>
      <c r="C45" s="7">
        <f aca="true" t="shared" si="2" ref="C45:J45">SUM(C35:C44)</f>
        <v>11917</v>
      </c>
      <c r="D45" s="7">
        <f t="shared" si="2"/>
        <v>17032</v>
      </c>
      <c r="E45" s="21">
        <f t="shared" si="2"/>
        <v>12874</v>
      </c>
      <c r="F45" s="21">
        <f t="shared" si="2"/>
        <v>19668</v>
      </c>
      <c r="G45" s="21">
        <f t="shared" si="2"/>
        <v>15082</v>
      </c>
      <c r="H45" s="21">
        <f t="shared" si="2"/>
        <v>11450</v>
      </c>
      <c r="I45" s="21">
        <f t="shared" si="2"/>
        <v>16262</v>
      </c>
      <c r="J45" s="21">
        <f t="shared" si="2"/>
        <v>13915</v>
      </c>
    </row>
    <row r="46" spans="1:10" ht="15">
      <c r="A46" s="4"/>
      <c r="B46" s="7" t="s">
        <v>61</v>
      </c>
      <c r="C46" s="7">
        <f aca="true" t="shared" si="3" ref="C46:J46">C27+C33+C45</f>
        <v>12924</v>
      </c>
      <c r="D46" s="7">
        <f t="shared" si="3"/>
        <v>18012</v>
      </c>
      <c r="E46" s="21">
        <f t="shared" si="3"/>
        <v>13847</v>
      </c>
      <c r="F46" s="21">
        <f t="shared" si="3"/>
        <v>20500</v>
      </c>
      <c r="G46" s="21">
        <f t="shared" si="3"/>
        <v>16169</v>
      </c>
      <c r="H46" s="21">
        <f t="shared" si="3"/>
        <v>13343</v>
      </c>
      <c r="I46" s="21">
        <f t="shared" si="3"/>
        <v>20286</v>
      </c>
      <c r="J46" s="21">
        <f t="shared" si="3"/>
        <v>18204</v>
      </c>
    </row>
  </sheetData>
  <sheetProtection/>
  <mergeCells count="15">
    <mergeCell ref="B6:J6"/>
    <mergeCell ref="G11:J11"/>
    <mergeCell ref="A1:G1"/>
    <mergeCell ref="A2:G2"/>
    <mergeCell ref="A3:G3"/>
    <mergeCell ref="B4:J4"/>
    <mergeCell ref="E5:G5"/>
    <mergeCell ref="B13:J13"/>
    <mergeCell ref="B7:J7"/>
    <mergeCell ref="B8:E8"/>
    <mergeCell ref="F8:H8"/>
    <mergeCell ref="B9:J9"/>
    <mergeCell ref="B10:J10"/>
    <mergeCell ref="B11:C11"/>
    <mergeCell ref="D11:F11"/>
  </mergeCells>
  <printOptions/>
  <pageMargins left="0.31496062992126" right="0.15748031496063" top="0.433070866141732" bottom="0.39" header="0.31496062992126" footer="0.16"/>
  <pageSetup firstPageNumber="100" useFirstPageNumber="1" horizontalDpi="600" verticalDpi="600" orientation="landscape" paperSize="9"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G12" sqref="G12"/>
    </sheetView>
  </sheetViews>
  <sheetFormatPr defaultColWidth="9.140625" defaultRowHeight="15"/>
  <cols>
    <col min="1" max="1" width="7.28125" style="28" customWidth="1"/>
    <col min="2" max="2" width="27.00390625" style="0" customWidth="1"/>
    <col min="3" max="3" width="10.140625" style="0" customWidth="1"/>
    <col min="4" max="4" width="1.57421875" style="0" customWidth="1"/>
    <col min="5" max="5" width="5.8515625" style="0" customWidth="1"/>
    <col min="6" max="6" width="23.28125" style="0" customWidth="1"/>
    <col min="7" max="7" width="10.28125" style="0" customWidth="1"/>
  </cols>
  <sheetData>
    <row r="1" spans="1:7" ht="15">
      <c r="A1" s="293" t="s">
        <v>144</v>
      </c>
      <c r="B1" s="293"/>
      <c r="G1" s="29" t="s">
        <v>143</v>
      </c>
    </row>
    <row r="2" spans="1:7" ht="15">
      <c r="A2" s="252" t="s">
        <v>142</v>
      </c>
      <c r="B2" s="252" t="s">
        <v>141</v>
      </c>
      <c r="C2" s="252" t="s">
        <v>51</v>
      </c>
      <c r="E2" s="252" t="s">
        <v>142</v>
      </c>
      <c r="F2" s="252" t="s">
        <v>141</v>
      </c>
      <c r="G2" s="252" t="s">
        <v>51</v>
      </c>
    </row>
    <row r="3" spans="1:7" ht="15">
      <c r="A3" s="176">
        <v>1</v>
      </c>
      <c r="B3" s="253" t="s">
        <v>140</v>
      </c>
      <c r="C3" s="254">
        <v>4395</v>
      </c>
      <c r="E3" s="176">
        <v>27</v>
      </c>
      <c r="F3" s="253" t="s">
        <v>114</v>
      </c>
      <c r="G3" s="254">
        <v>3145</v>
      </c>
    </row>
    <row r="4" spans="1:7" ht="15">
      <c r="A4" s="176">
        <v>2</v>
      </c>
      <c r="B4" s="253" t="s">
        <v>139</v>
      </c>
      <c r="C4" s="254">
        <v>2157</v>
      </c>
      <c r="E4" s="176">
        <v>28</v>
      </c>
      <c r="F4" s="253" t="s">
        <v>113</v>
      </c>
      <c r="G4" s="254">
        <v>2272</v>
      </c>
    </row>
    <row r="5" spans="1:7" ht="15">
      <c r="A5" s="176">
        <v>3</v>
      </c>
      <c r="B5" s="253" t="s">
        <v>138</v>
      </c>
      <c r="C5" s="254">
        <v>3780</v>
      </c>
      <c r="E5" s="176">
        <v>29</v>
      </c>
      <c r="F5" s="253" t="s">
        <v>112</v>
      </c>
      <c r="G5" s="254">
        <v>2960</v>
      </c>
    </row>
    <row r="6" spans="1:7" ht="15">
      <c r="A6" s="176">
        <v>4</v>
      </c>
      <c r="B6" s="253" t="s">
        <v>137</v>
      </c>
      <c r="C6" s="254">
        <v>3355</v>
      </c>
      <c r="E6" s="176">
        <v>30</v>
      </c>
      <c r="F6" s="253" t="s">
        <v>111</v>
      </c>
      <c r="G6" s="254">
        <v>3494</v>
      </c>
    </row>
    <row r="7" spans="1:7" ht="15" customHeight="1">
      <c r="A7" s="176">
        <v>5</v>
      </c>
      <c r="B7" s="253" t="s">
        <v>136</v>
      </c>
      <c r="C7" s="254">
        <v>3959</v>
      </c>
      <c r="E7" s="176">
        <v>31</v>
      </c>
      <c r="F7" s="253" t="s">
        <v>110</v>
      </c>
      <c r="G7" s="254">
        <v>1782</v>
      </c>
    </row>
    <row r="8" spans="1:7" ht="15">
      <c r="A8" s="176">
        <v>6</v>
      </c>
      <c r="B8" s="253" t="s">
        <v>135</v>
      </c>
      <c r="C8" s="254">
        <v>1721</v>
      </c>
      <c r="E8" s="176">
        <v>32</v>
      </c>
      <c r="F8" s="253" t="s">
        <v>109</v>
      </c>
      <c r="G8" s="254">
        <v>3692</v>
      </c>
    </row>
    <row r="9" spans="1:7" ht="15">
      <c r="A9" s="176">
        <v>7</v>
      </c>
      <c r="B9" s="253" t="s">
        <v>134</v>
      </c>
      <c r="C9" s="254">
        <v>2641</v>
      </c>
      <c r="E9" s="176">
        <v>33</v>
      </c>
      <c r="F9" s="253" t="s">
        <v>108</v>
      </c>
      <c r="G9" s="254">
        <v>1360</v>
      </c>
    </row>
    <row r="10" spans="1:7" ht="15">
      <c r="A10" s="176">
        <v>8</v>
      </c>
      <c r="B10" s="253" t="s">
        <v>133</v>
      </c>
      <c r="C10" s="254">
        <v>2172</v>
      </c>
      <c r="E10" s="176">
        <v>34</v>
      </c>
      <c r="F10" s="253" t="s">
        <v>107</v>
      </c>
      <c r="G10" s="254">
        <v>3747</v>
      </c>
    </row>
    <row r="11" spans="1:7" ht="15">
      <c r="A11" s="176">
        <v>9</v>
      </c>
      <c r="B11" s="253" t="s">
        <v>132</v>
      </c>
      <c r="C11" s="254">
        <v>5588</v>
      </c>
      <c r="E11" s="176">
        <v>35</v>
      </c>
      <c r="F11" s="253" t="s">
        <v>106</v>
      </c>
      <c r="G11" s="254">
        <v>2170</v>
      </c>
    </row>
    <row r="12" spans="1:7" ht="15">
      <c r="A12" s="176">
        <v>10</v>
      </c>
      <c r="B12" s="253" t="s">
        <v>131</v>
      </c>
      <c r="C12" s="254">
        <v>4789</v>
      </c>
      <c r="E12" s="176">
        <v>36</v>
      </c>
      <c r="F12" s="253" t="s">
        <v>105</v>
      </c>
      <c r="G12" s="254">
        <v>4272</v>
      </c>
    </row>
    <row r="13" spans="1:7" ht="15">
      <c r="A13" s="176">
        <v>11</v>
      </c>
      <c r="B13" s="253" t="s">
        <v>130</v>
      </c>
      <c r="C13" s="254">
        <v>2213</v>
      </c>
      <c r="E13" s="176">
        <v>37</v>
      </c>
      <c r="F13" s="253" t="s">
        <v>104</v>
      </c>
      <c r="G13" s="254">
        <v>6097</v>
      </c>
    </row>
    <row r="14" spans="1:7" ht="15">
      <c r="A14" s="176">
        <v>12</v>
      </c>
      <c r="B14" s="253" t="s">
        <v>129</v>
      </c>
      <c r="C14" s="254">
        <v>3120</v>
      </c>
      <c r="E14" s="176">
        <v>38</v>
      </c>
      <c r="F14" s="253" t="s">
        <v>103</v>
      </c>
      <c r="G14" s="254">
        <v>2270</v>
      </c>
    </row>
    <row r="15" spans="1:7" ht="15">
      <c r="A15" s="176">
        <v>13</v>
      </c>
      <c r="B15" s="253" t="s">
        <v>128</v>
      </c>
      <c r="C15" s="254">
        <v>2855</v>
      </c>
      <c r="E15" s="176">
        <v>39</v>
      </c>
      <c r="F15" s="253" t="s">
        <v>102</v>
      </c>
      <c r="G15" s="254">
        <v>1819</v>
      </c>
    </row>
    <row r="16" spans="1:7" ht="15">
      <c r="A16" s="176">
        <v>14</v>
      </c>
      <c r="B16" s="253" t="s">
        <v>127</v>
      </c>
      <c r="C16" s="254">
        <v>2279</v>
      </c>
      <c r="E16" s="176">
        <v>40</v>
      </c>
      <c r="F16" s="253" t="s">
        <v>101</v>
      </c>
      <c r="G16" s="254">
        <v>3334</v>
      </c>
    </row>
    <row r="17" spans="1:7" ht="15">
      <c r="A17" s="176">
        <v>15</v>
      </c>
      <c r="B17" s="253" t="s">
        <v>126</v>
      </c>
      <c r="C17" s="254">
        <v>2730</v>
      </c>
      <c r="E17" s="176">
        <v>41</v>
      </c>
      <c r="F17" s="253" t="s">
        <v>100</v>
      </c>
      <c r="G17" s="254">
        <v>2310</v>
      </c>
    </row>
    <row r="18" spans="1:7" ht="15">
      <c r="A18" s="176">
        <v>16</v>
      </c>
      <c r="B18" s="253" t="s">
        <v>125</v>
      </c>
      <c r="C18" s="254">
        <v>2352</v>
      </c>
      <c r="E18" s="176">
        <v>42</v>
      </c>
      <c r="F18" s="253" t="s">
        <v>99</v>
      </c>
      <c r="G18" s="254">
        <v>4148</v>
      </c>
    </row>
    <row r="19" spans="1:7" ht="15">
      <c r="A19" s="176">
        <v>17</v>
      </c>
      <c r="B19" s="253" t="s">
        <v>124</v>
      </c>
      <c r="C19" s="254">
        <v>3084</v>
      </c>
      <c r="E19" s="176">
        <v>43</v>
      </c>
      <c r="F19" s="253" t="s">
        <v>98</v>
      </c>
      <c r="G19" s="254">
        <v>2116</v>
      </c>
    </row>
    <row r="20" spans="1:7" ht="15">
      <c r="A20" s="176">
        <v>18</v>
      </c>
      <c r="B20" s="253" t="s">
        <v>123</v>
      </c>
      <c r="C20" s="254">
        <v>3075</v>
      </c>
      <c r="E20" s="176">
        <v>44</v>
      </c>
      <c r="F20" s="253" t="s">
        <v>97</v>
      </c>
      <c r="G20" s="254">
        <v>2105</v>
      </c>
    </row>
    <row r="21" spans="1:7" ht="15">
      <c r="A21" s="176">
        <v>19</v>
      </c>
      <c r="B21" s="253" t="s">
        <v>122</v>
      </c>
      <c r="C21" s="254">
        <v>1546</v>
      </c>
      <c r="E21" s="176">
        <v>45</v>
      </c>
      <c r="F21" s="253" t="s">
        <v>96</v>
      </c>
      <c r="G21" s="254">
        <v>2739</v>
      </c>
    </row>
    <row r="22" spans="1:7" ht="15">
      <c r="A22" s="176">
        <v>20</v>
      </c>
      <c r="B22" s="253" t="s">
        <v>121</v>
      </c>
      <c r="C22" s="254">
        <v>2078</v>
      </c>
      <c r="E22" s="176">
        <v>46</v>
      </c>
      <c r="F22" s="253" t="s">
        <v>95</v>
      </c>
      <c r="G22" s="254">
        <v>1775</v>
      </c>
    </row>
    <row r="23" spans="1:7" ht="15">
      <c r="A23" s="176">
        <v>21</v>
      </c>
      <c r="B23" s="253" t="s">
        <v>120</v>
      </c>
      <c r="C23" s="254">
        <v>2025</v>
      </c>
      <c r="E23" s="176">
        <v>47</v>
      </c>
      <c r="F23" s="253" t="s">
        <v>94</v>
      </c>
      <c r="G23" s="254">
        <v>3057</v>
      </c>
    </row>
    <row r="24" spans="1:7" ht="15">
      <c r="A24" s="176">
        <v>22</v>
      </c>
      <c r="B24" s="253" t="s">
        <v>119</v>
      </c>
      <c r="C24" s="254">
        <v>2805</v>
      </c>
      <c r="E24" s="176">
        <v>48</v>
      </c>
      <c r="F24" s="253" t="s">
        <v>93</v>
      </c>
      <c r="G24" s="254">
        <v>4387</v>
      </c>
    </row>
    <row r="25" spans="1:7" ht="15">
      <c r="A25" s="176">
        <v>23</v>
      </c>
      <c r="B25" s="253" t="s">
        <v>118</v>
      </c>
      <c r="C25" s="254">
        <v>2689</v>
      </c>
      <c r="E25" s="176">
        <v>49</v>
      </c>
      <c r="F25" s="253" t="s">
        <v>92</v>
      </c>
      <c r="G25" s="254">
        <v>2135</v>
      </c>
    </row>
    <row r="26" spans="1:7" ht="15">
      <c r="A26" s="176">
        <v>24</v>
      </c>
      <c r="B26" s="253" t="s">
        <v>117</v>
      </c>
      <c r="C26" s="254">
        <v>4787</v>
      </c>
      <c r="E26" s="176">
        <v>50</v>
      </c>
      <c r="F26" s="253" t="s">
        <v>91</v>
      </c>
      <c r="G26" s="254">
        <v>3136</v>
      </c>
    </row>
    <row r="27" spans="1:7" ht="15">
      <c r="A27" s="176">
        <v>25</v>
      </c>
      <c r="B27" s="253" t="s">
        <v>116</v>
      </c>
      <c r="C27" s="254">
        <v>3561</v>
      </c>
      <c r="E27" s="176">
        <v>51</v>
      </c>
      <c r="F27" s="253" t="s">
        <v>90</v>
      </c>
      <c r="G27" s="254">
        <v>5179</v>
      </c>
    </row>
    <row r="28" spans="1:7" ht="15">
      <c r="A28" s="176">
        <v>26</v>
      </c>
      <c r="B28" s="253" t="s">
        <v>115</v>
      </c>
      <c r="C28" s="254">
        <v>2729</v>
      </c>
      <c r="E28" s="176"/>
      <c r="F28" s="255" t="s">
        <v>89</v>
      </c>
      <c r="G28" s="256">
        <f>SUM(C3:C53)</f>
        <v>78485</v>
      </c>
    </row>
  </sheetData>
  <sheetProtection/>
  <mergeCells count="1">
    <mergeCell ref="A1:B1"/>
  </mergeCells>
  <printOptions/>
  <pageMargins left="0.708661417322835" right="0.708661417322835" top="0.748031496062992" bottom="0.748031496062992" header="0.31496062992126" footer="0.31496062992126"/>
  <pageSetup orientation="portrait" r:id="rId1"/>
  <headerFooter>
    <oddFooter>&amp;C102</oddFooter>
  </headerFooter>
</worksheet>
</file>

<file path=xl/worksheets/sheet5.xml><?xml version="1.0" encoding="utf-8"?>
<worksheet xmlns="http://schemas.openxmlformats.org/spreadsheetml/2006/main" xmlns:r="http://schemas.openxmlformats.org/officeDocument/2006/relationships">
  <dimension ref="A1:D28"/>
  <sheetViews>
    <sheetView zoomScalePageLayoutView="0" workbookViewId="0" topLeftCell="A1">
      <selection activeCell="E26" sqref="E26"/>
    </sheetView>
  </sheetViews>
  <sheetFormatPr defaultColWidth="9.140625" defaultRowHeight="15"/>
  <cols>
    <col min="2" max="2" width="21.140625" style="0" customWidth="1"/>
    <col min="3" max="3" width="16.00390625" style="0" customWidth="1"/>
    <col min="7" max="7" width="9.421875" style="0" customWidth="1"/>
  </cols>
  <sheetData>
    <row r="1" spans="1:3" ht="15">
      <c r="A1" s="293" t="s">
        <v>172</v>
      </c>
      <c r="B1" s="293"/>
      <c r="C1" s="29" t="s">
        <v>171</v>
      </c>
    </row>
    <row r="2" spans="1:3" ht="15">
      <c r="A2" s="36" t="s">
        <v>170</v>
      </c>
      <c r="B2" s="36" t="s">
        <v>141</v>
      </c>
      <c r="C2" s="36" t="s">
        <v>51</v>
      </c>
    </row>
    <row r="3" spans="1:3" ht="15">
      <c r="A3" s="33">
        <v>1</v>
      </c>
      <c r="B3" s="35" t="s">
        <v>169</v>
      </c>
      <c r="C3" s="34">
        <v>1261</v>
      </c>
    </row>
    <row r="4" spans="1:3" ht="15">
      <c r="A4" s="33">
        <v>2</v>
      </c>
      <c r="B4" s="35" t="s">
        <v>168</v>
      </c>
      <c r="C4" s="34">
        <v>1636</v>
      </c>
    </row>
    <row r="5" spans="1:3" ht="15">
      <c r="A5" s="33">
        <v>3</v>
      </c>
      <c r="B5" s="35" t="s">
        <v>167</v>
      </c>
      <c r="C5" s="34">
        <v>1956</v>
      </c>
    </row>
    <row r="6" spans="1:3" ht="15">
      <c r="A6" s="33">
        <v>4</v>
      </c>
      <c r="B6" s="35" t="s">
        <v>166</v>
      </c>
      <c r="C6" s="34">
        <v>2356</v>
      </c>
    </row>
    <row r="7" spans="1:3" ht="15">
      <c r="A7" s="33">
        <v>5</v>
      </c>
      <c r="B7" s="35" t="s">
        <v>165</v>
      </c>
      <c r="C7" s="34">
        <v>1638</v>
      </c>
    </row>
    <row r="8" spans="1:3" ht="15">
      <c r="A8" s="33">
        <v>6</v>
      </c>
      <c r="B8" s="35" t="s">
        <v>164</v>
      </c>
      <c r="C8" s="34">
        <v>704</v>
      </c>
    </row>
    <row r="9" spans="1:3" ht="15">
      <c r="A9" s="33">
        <v>7</v>
      </c>
      <c r="B9" s="35" t="s">
        <v>163</v>
      </c>
      <c r="C9" s="34">
        <v>2247</v>
      </c>
    </row>
    <row r="10" spans="1:3" ht="15">
      <c r="A10" s="33">
        <v>8</v>
      </c>
      <c r="B10" s="35" t="s">
        <v>162</v>
      </c>
      <c r="C10" s="34">
        <v>923</v>
      </c>
    </row>
    <row r="11" spans="1:3" ht="15">
      <c r="A11" s="33">
        <v>9</v>
      </c>
      <c r="B11" s="35" t="s">
        <v>161</v>
      </c>
      <c r="C11" s="34">
        <v>738</v>
      </c>
    </row>
    <row r="12" spans="1:3" ht="15">
      <c r="A12" s="33">
        <v>10</v>
      </c>
      <c r="B12" s="35" t="s">
        <v>160</v>
      </c>
      <c r="C12" s="34">
        <v>2726</v>
      </c>
    </row>
    <row r="13" spans="1:3" ht="15">
      <c r="A13" s="33">
        <v>11</v>
      </c>
      <c r="B13" s="35" t="s">
        <v>159</v>
      </c>
      <c r="C13" s="34">
        <v>1051</v>
      </c>
    </row>
    <row r="14" spans="1:3" ht="15">
      <c r="A14" s="33">
        <v>12</v>
      </c>
      <c r="B14" s="35" t="s">
        <v>158</v>
      </c>
      <c r="C14" s="34">
        <v>2308</v>
      </c>
    </row>
    <row r="15" spans="1:3" ht="15">
      <c r="A15" s="33">
        <v>13</v>
      </c>
      <c r="B15" s="35" t="s">
        <v>157</v>
      </c>
      <c r="C15" s="34">
        <v>1217</v>
      </c>
    </row>
    <row r="16" spans="1:3" ht="15">
      <c r="A16" s="33">
        <v>14</v>
      </c>
      <c r="B16" s="35" t="s">
        <v>156</v>
      </c>
      <c r="C16" s="34">
        <v>1313</v>
      </c>
    </row>
    <row r="17" spans="1:3" ht="15">
      <c r="A17" s="33">
        <v>15</v>
      </c>
      <c r="B17" s="35" t="s">
        <v>155</v>
      </c>
      <c r="C17" s="34">
        <v>2736</v>
      </c>
    </row>
    <row r="18" spans="1:3" ht="15">
      <c r="A18" s="33">
        <v>16</v>
      </c>
      <c r="B18" s="35" t="s">
        <v>154</v>
      </c>
      <c r="C18" s="34">
        <v>1012</v>
      </c>
    </row>
    <row r="19" spans="1:3" ht="15">
      <c r="A19" s="33">
        <v>17</v>
      </c>
      <c r="B19" s="35" t="s">
        <v>153</v>
      </c>
      <c r="C19" s="34">
        <v>1165</v>
      </c>
    </row>
    <row r="20" spans="1:3" ht="15">
      <c r="A20" s="33">
        <v>18</v>
      </c>
      <c r="B20" s="35" t="s">
        <v>152</v>
      </c>
      <c r="C20" s="34">
        <v>1265</v>
      </c>
    </row>
    <row r="21" spans="1:3" ht="15">
      <c r="A21" s="33">
        <v>19</v>
      </c>
      <c r="B21" s="35" t="s">
        <v>151</v>
      </c>
      <c r="C21" s="34">
        <v>2602</v>
      </c>
    </row>
    <row r="22" spans="1:3" ht="15">
      <c r="A22" s="33">
        <v>20</v>
      </c>
      <c r="B22" s="35" t="s">
        <v>150</v>
      </c>
      <c r="C22" s="34">
        <v>1695</v>
      </c>
    </row>
    <row r="23" spans="1:3" ht="15">
      <c r="A23" s="33">
        <v>21</v>
      </c>
      <c r="B23" s="35" t="s">
        <v>149</v>
      </c>
      <c r="C23" s="34">
        <v>797</v>
      </c>
    </row>
    <row r="24" spans="1:3" ht="15">
      <c r="A24" s="33">
        <v>22</v>
      </c>
      <c r="B24" s="35" t="s">
        <v>148</v>
      </c>
      <c r="C24" s="34">
        <v>2403</v>
      </c>
    </row>
    <row r="25" spans="1:3" ht="15">
      <c r="A25" s="33">
        <v>23</v>
      </c>
      <c r="B25" s="35" t="s">
        <v>147</v>
      </c>
      <c r="C25" s="34">
        <v>1467</v>
      </c>
    </row>
    <row r="26" spans="1:3" ht="15">
      <c r="A26" s="33">
        <v>24</v>
      </c>
      <c r="B26" s="35" t="s">
        <v>146</v>
      </c>
      <c r="C26" s="34">
        <v>903</v>
      </c>
    </row>
    <row r="27" spans="1:3" ht="15">
      <c r="A27" s="33">
        <v>25</v>
      </c>
      <c r="B27" s="35" t="s">
        <v>145</v>
      </c>
      <c r="C27" s="34">
        <v>2134</v>
      </c>
    </row>
    <row r="28" spans="1:4" ht="15">
      <c r="A28" s="33"/>
      <c r="B28" s="32" t="s">
        <v>89</v>
      </c>
      <c r="C28" s="31">
        <f>SUM(C3:C27)</f>
        <v>40253</v>
      </c>
      <c r="D28" s="30"/>
    </row>
  </sheetData>
  <sheetProtection/>
  <mergeCells count="1">
    <mergeCell ref="A1:B1"/>
  </mergeCells>
  <printOptions/>
  <pageMargins left="1.05" right="0.708661417322835" top="0.748031496062992" bottom="0.748031496062992" header="0.31496062992126" footer="0.31496062992126"/>
  <pageSetup firstPageNumber="103" useFirstPageNumber="1" orientation="portrait"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C51"/>
  <sheetViews>
    <sheetView zoomScalePageLayoutView="0" workbookViewId="0" topLeftCell="A28">
      <selection activeCell="C42" sqref="C42"/>
    </sheetView>
  </sheetViews>
  <sheetFormatPr defaultColWidth="9.140625" defaultRowHeight="15"/>
  <cols>
    <col min="2" max="2" width="20.7109375" style="0" bestFit="1" customWidth="1"/>
    <col min="3" max="3" width="21.8515625" style="0" customWidth="1"/>
  </cols>
  <sheetData>
    <row r="1" spans="1:3" ht="15">
      <c r="A1" s="293" t="s">
        <v>222</v>
      </c>
      <c r="B1" s="293"/>
      <c r="C1" s="29" t="s">
        <v>221</v>
      </c>
    </row>
    <row r="2" spans="1:3" ht="15">
      <c r="A2" s="40" t="s">
        <v>170</v>
      </c>
      <c r="B2" s="40" t="s">
        <v>141</v>
      </c>
      <c r="C2" s="40" t="s">
        <v>51</v>
      </c>
    </row>
    <row r="3" spans="1:3" ht="15">
      <c r="A3" s="33">
        <v>1</v>
      </c>
      <c r="B3" s="39" t="s">
        <v>220</v>
      </c>
      <c r="C3" s="38">
        <v>1665</v>
      </c>
    </row>
    <row r="4" spans="1:3" ht="15">
      <c r="A4" s="33">
        <v>2</v>
      </c>
      <c r="B4" s="39" t="s">
        <v>219</v>
      </c>
      <c r="C4" s="38">
        <v>3623</v>
      </c>
    </row>
    <row r="5" spans="1:3" ht="15">
      <c r="A5" s="33">
        <v>3</v>
      </c>
      <c r="B5" s="39" t="s">
        <v>218</v>
      </c>
      <c r="C5" s="38">
        <v>2685</v>
      </c>
    </row>
    <row r="6" spans="1:3" ht="15">
      <c r="A6" s="33">
        <v>4</v>
      </c>
      <c r="B6" s="39" t="s">
        <v>217</v>
      </c>
      <c r="C6" s="38">
        <v>3991</v>
      </c>
    </row>
    <row r="7" spans="1:3" ht="15">
      <c r="A7" s="33">
        <v>5</v>
      </c>
      <c r="B7" s="39" t="s">
        <v>216</v>
      </c>
      <c r="C7" s="38">
        <v>1746</v>
      </c>
    </row>
    <row r="8" spans="1:3" ht="15">
      <c r="A8" s="33">
        <v>6</v>
      </c>
      <c r="B8" s="39" t="s">
        <v>215</v>
      </c>
      <c r="C8" s="38">
        <v>2978</v>
      </c>
    </row>
    <row r="9" spans="1:3" ht="15">
      <c r="A9" s="33">
        <v>7</v>
      </c>
      <c r="B9" s="39" t="s">
        <v>214</v>
      </c>
      <c r="C9" s="38">
        <v>1546</v>
      </c>
    </row>
    <row r="10" spans="1:3" ht="15">
      <c r="A10" s="33">
        <v>8</v>
      </c>
      <c r="B10" s="39" t="s">
        <v>213</v>
      </c>
      <c r="C10" s="38">
        <v>1868</v>
      </c>
    </row>
    <row r="11" spans="1:3" ht="15">
      <c r="A11" s="33">
        <v>9</v>
      </c>
      <c r="B11" s="39" t="s">
        <v>212</v>
      </c>
      <c r="C11" s="38">
        <v>1696</v>
      </c>
    </row>
    <row r="12" spans="1:3" ht="15">
      <c r="A12" s="33">
        <v>10</v>
      </c>
      <c r="B12" s="39" t="s">
        <v>211</v>
      </c>
      <c r="C12" s="38">
        <v>3073</v>
      </c>
    </row>
    <row r="13" spans="1:3" ht="15">
      <c r="A13" s="33">
        <v>11</v>
      </c>
      <c r="B13" s="39" t="s">
        <v>210</v>
      </c>
      <c r="C13" s="38">
        <v>1219</v>
      </c>
    </row>
    <row r="14" spans="1:3" ht="15">
      <c r="A14" s="33">
        <v>12</v>
      </c>
      <c r="B14" s="39" t="s">
        <v>209</v>
      </c>
      <c r="C14" s="38">
        <v>2486</v>
      </c>
    </row>
    <row r="15" spans="1:3" ht="15">
      <c r="A15" s="33">
        <v>13</v>
      </c>
      <c r="B15" s="39" t="s">
        <v>208</v>
      </c>
      <c r="C15" s="38">
        <v>2338</v>
      </c>
    </row>
    <row r="16" spans="1:3" ht="15">
      <c r="A16" s="33">
        <v>14</v>
      </c>
      <c r="B16" s="39" t="s">
        <v>207</v>
      </c>
      <c r="C16" s="38">
        <v>2156</v>
      </c>
    </row>
    <row r="17" spans="1:3" ht="15">
      <c r="A17" s="33">
        <v>15</v>
      </c>
      <c r="B17" s="39" t="s">
        <v>206</v>
      </c>
      <c r="C17" s="38">
        <v>2271</v>
      </c>
    </row>
    <row r="18" spans="1:3" ht="15">
      <c r="A18" s="33">
        <v>16</v>
      </c>
      <c r="B18" s="39" t="s">
        <v>205</v>
      </c>
      <c r="C18" s="38">
        <v>1749</v>
      </c>
    </row>
    <row r="19" spans="1:3" ht="15">
      <c r="A19" s="33">
        <v>17</v>
      </c>
      <c r="B19" s="39" t="s">
        <v>204</v>
      </c>
      <c r="C19" s="38">
        <v>2569</v>
      </c>
    </row>
    <row r="20" spans="1:3" ht="15">
      <c r="A20" s="33">
        <v>18</v>
      </c>
      <c r="B20" s="39" t="s">
        <v>203</v>
      </c>
      <c r="C20" s="38">
        <v>1871</v>
      </c>
    </row>
    <row r="21" spans="1:3" ht="15">
      <c r="A21" s="33">
        <v>19</v>
      </c>
      <c r="B21" s="39" t="s">
        <v>202</v>
      </c>
      <c r="C21" s="38">
        <v>5946</v>
      </c>
    </row>
    <row r="22" spans="1:3" ht="15">
      <c r="A22" s="33">
        <v>20</v>
      </c>
      <c r="B22" s="39" t="s">
        <v>201</v>
      </c>
      <c r="C22" s="38">
        <v>1463</v>
      </c>
    </row>
    <row r="23" spans="1:3" ht="15">
      <c r="A23" s="33">
        <v>21</v>
      </c>
      <c r="B23" s="39" t="s">
        <v>200</v>
      </c>
      <c r="C23" s="38">
        <v>3106</v>
      </c>
    </row>
    <row r="24" spans="1:3" ht="15">
      <c r="A24" s="33">
        <v>22</v>
      </c>
      <c r="B24" s="39" t="s">
        <v>199</v>
      </c>
      <c r="C24" s="38">
        <v>6248</v>
      </c>
    </row>
    <row r="25" spans="1:3" ht="15">
      <c r="A25" s="33">
        <v>23</v>
      </c>
      <c r="B25" s="39" t="s">
        <v>198</v>
      </c>
      <c r="C25" s="38">
        <v>2584</v>
      </c>
    </row>
    <row r="26" spans="1:3" ht="15">
      <c r="A26" s="33">
        <v>24</v>
      </c>
      <c r="B26" s="39" t="s">
        <v>197</v>
      </c>
      <c r="C26" s="38">
        <v>2603</v>
      </c>
    </row>
    <row r="27" spans="1:3" ht="15">
      <c r="A27" s="33">
        <v>25</v>
      </c>
      <c r="B27" s="39" t="s">
        <v>196</v>
      </c>
      <c r="C27" s="38">
        <v>2484</v>
      </c>
    </row>
    <row r="28" spans="1:3" ht="15">
      <c r="A28" s="33">
        <v>26</v>
      </c>
      <c r="B28" s="39" t="s">
        <v>195</v>
      </c>
      <c r="C28" s="38">
        <v>1767</v>
      </c>
    </row>
    <row r="29" spans="1:3" ht="15">
      <c r="A29" s="33">
        <v>27</v>
      </c>
      <c r="B29" s="39" t="s">
        <v>194</v>
      </c>
      <c r="C29" s="38">
        <v>3154</v>
      </c>
    </row>
    <row r="30" spans="1:3" ht="15">
      <c r="A30" s="33">
        <v>28</v>
      </c>
      <c r="B30" s="39" t="s">
        <v>193</v>
      </c>
      <c r="C30" s="38">
        <v>2168</v>
      </c>
    </row>
    <row r="31" spans="1:3" ht="15">
      <c r="A31" s="33">
        <v>29</v>
      </c>
      <c r="B31" s="39" t="s">
        <v>192</v>
      </c>
      <c r="C31" s="38">
        <v>1533</v>
      </c>
    </row>
    <row r="32" spans="1:3" ht="15">
      <c r="A32" s="33">
        <v>30</v>
      </c>
      <c r="B32" s="39" t="s">
        <v>191</v>
      </c>
      <c r="C32" s="38">
        <v>1749</v>
      </c>
    </row>
    <row r="33" spans="1:3" ht="15">
      <c r="A33" s="33">
        <v>31</v>
      </c>
      <c r="B33" s="39" t="s">
        <v>190</v>
      </c>
      <c r="C33" s="38">
        <v>3082</v>
      </c>
    </row>
    <row r="34" spans="1:3" ht="15">
      <c r="A34" s="33">
        <v>32</v>
      </c>
      <c r="B34" s="39" t="s">
        <v>189</v>
      </c>
      <c r="C34" s="38">
        <v>1340</v>
      </c>
    </row>
    <row r="35" spans="1:3" ht="15">
      <c r="A35" s="33">
        <v>33</v>
      </c>
      <c r="B35" s="39" t="s">
        <v>188</v>
      </c>
      <c r="C35" s="38">
        <v>4505</v>
      </c>
    </row>
    <row r="36" spans="1:3" ht="15">
      <c r="A36" s="33">
        <v>34</v>
      </c>
      <c r="B36" s="39" t="s">
        <v>187</v>
      </c>
      <c r="C36" s="38">
        <v>1695</v>
      </c>
    </row>
    <row r="37" spans="1:3" ht="15">
      <c r="A37" s="33">
        <v>35</v>
      </c>
      <c r="B37" s="39" t="s">
        <v>186</v>
      </c>
      <c r="C37" s="38">
        <v>977</v>
      </c>
    </row>
    <row r="38" spans="1:3" ht="15">
      <c r="A38" s="33">
        <v>36</v>
      </c>
      <c r="B38" s="39" t="s">
        <v>185</v>
      </c>
      <c r="C38" s="38">
        <v>2234</v>
      </c>
    </row>
    <row r="39" spans="1:3" ht="15">
      <c r="A39" s="33">
        <v>37</v>
      </c>
      <c r="B39" s="39" t="s">
        <v>184</v>
      </c>
      <c r="C39" s="38">
        <v>4227</v>
      </c>
    </row>
    <row r="40" spans="1:3" ht="15">
      <c r="A40" s="33">
        <v>38</v>
      </c>
      <c r="B40" s="39" t="s">
        <v>183</v>
      </c>
      <c r="C40" s="38">
        <v>2212</v>
      </c>
    </row>
    <row r="41" spans="1:3" ht="15">
      <c r="A41" s="33">
        <v>39</v>
      </c>
      <c r="B41" s="39" t="s">
        <v>182</v>
      </c>
      <c r="C41" s="38">
        <v>1934</v>
      </c>
    </row>
    <row r="42" spans="1:3" ht="15">
      <c r="A42" s="33">
        <v>40</v>
      </c>
      <c r="B42" s="39" t="s">
        <v>181</v>
      </c>
      <c r="C42" s="38">
        <v>2413</v>
      </c>
    </row>
    <row r="43" spans="1:3" ht="15">
      <c r="A43" s="33">
        <v>41</v>
      </c>
      <c r="B43" s="39" t="s">
        <v>180</v>
      </c>
      <c r="C43" s="38">
        <v>3744</v>
      </c>
    </row>
    <row r="44" spans="1:3" ht="15">
      <c r="A44" s="33">
        <v>42</v>
      </c>
      <c r="B44" s="39" t="s">
        <v>179</v>
      </c>
      <c r="C44" s="38">
        <v>1383</v>
      </c>
    </row>
    <row r="45" spans="1:3" ht="15">
      <c r="A45" s="33">
        <v>43</v>
      </c>
      <c r="B45" s="39" t="s">
        <v>178</v>
      </c>
      <c r="C45" s="38">
        <v>2511</v>
      </c>
    </row>
    <row r="46" spans="1:3" ht="15">
      <c r="A46" s="33">
        <v>44</v>
      </c>
      <c r="B46" s="39" t="s">
        <v>177</v>
      </c>
      <c r="C46" s="38">
        <v>1597</v>
      </c>
    </row>
    <row r="47" spans="1:3" ht="15">
      <c r="A47" s="33">
        <v>45</v>
      </c>
      <c r="B47" s="39" t="s">
        <v>176</v>
      </c>
      <c r="C47" s="38">
        <v>3015</v>
      </c>
    </row>
    <row r="48" spans="1:3" ht="15">
      <c r="A48" s="33">
        <v>46</v>
      </c>
      <c r="B48" s="39" t="s">
        <v>175</v>
      </c>
      <c r="C48" s="38">
        <v>2931</v>
      </c>
    </row>
    <row r="49" spans="1:3" ht="15">
      <c r="A49" s="33">
        <v>47</v>
      </c>
      <c r="B49" s="39" t="s">
        <v>174</v>
      </c>
      <c r="C49" s="38">
        <v>1923</v>
      </c>
    </row>
    <row r="50" spans="1:3" ht="15">
      <c r="A50" s="33">
        <v>48</v>
      </c>
      <c r="B50" s="39" t="s">
        <v>173</v>
      </c>
      <c r="C50" s="38">
        <v>3964</v>
      </c>
    </row>
    <row r="51" spans="1:3" ht="15">
      <c r="A51" s="33"/>
      <c r="B51" s="37" t="s">
        <v>89</v>
      </c>
      <c r="C51" s="31">
        <f>SUM(C3:C50)</f>
        <v>122022</v>
      </c>
    </row>
  </sheetData>
  <sheetProtection/>
  <mergeCells count="1">
    <mergeCell ref="A1:B1"/>
  </mergeCells>
  <printOptions/>
  <pageMargins left="0.708661417322835" right="0.708661417322835" top="0.511811023622047" bottom="0.551181102362205" header="0.31496062992126" footer="0.31496062992126"/>
  <pageSetup firstPageNumber="104" useFirstPageNumber="1"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G33"/>
  <sheetViews>
    <sheetView zoomScalePageLayoutView="0" workbookViewId="0" topLeftCell="A19">
      <selection activeCell="B4" sqref="B4"/>
    </sheetView>
  </sheetViews>
  <sheetFormatPr defaultColWidth="9.140625" defaultRowHeight="15"/>
  <cols>
    <col min="1" max="1" width="5.421875" style="0" customWidth="1"/>
    <col min="2" max="2" width="27.140625" style="0" customWidth="1"/>
    <col min="3" max="3" width="9.28125" style="0" customWidth="1"/>
    <col min="4" max="4" width="2.57421875" style="0" customWidth="1"/>
    <col min="5" max="5" width="5.28125" style="0" customWidth="1"/>
    <col min="6" max="6" width="25.7109375" style="0" customWidth="1"/>
  </cols>
  <sheetData>
    <row r="1" spans="1:7" ht="15">
      <c r="A1" s="293" t="s">
        <v>286</v>
      </c>
      <c r="B1" s="293"/>
      <c r="G1" s="29" t="s">
        <v>285</v>
      </c>
    </row>
    <row r="2" spans="1:7" ht="19.5" customHeight="1">
      <c r="A2" s="44" t="s">
        <v>142</v>
      </c>
      <c r="B2" s="44" t="s">
        <v>141</v>
      </c>
      <c r="C2" s="44" t="s">
        <v>284</v>
      </c>
      <c r="E2" s="257" t="s">
        <v>142</v>
      </c>
      <c r="F2" s="44" t="s">
        <v>141</v>
      </c>
      <c r="G2" s="44" t="s">
        <v>284</v>
      </c>
    </row>
    <row r="3" spans="1:7" ht="15">
      <c r="A3" s="33">
        <v>1</v>
      </c>
      <c r="B3" s="43" t="s">
        <v>283</v>
      </c>
      <c r="C3" s="42">
        <v>2455</v>
      </c>
      <c r="E3" s="33">
        <v>32</v>
      </c>
      <c r="F3" s="43" t="s">
        <v>252</v>
      </c>
      <c r="G3" s="42">
        <v>3961</v>
      </c>
    </row>
    <row r="4" spans="1:7" ht="15">
      <c r="A4" s="33">
        <v>2</v>
      </c>
      <c r="B4" s="43" t="s">
        <v>282</v>
      </c>
      <c r="C4" s="42">
        <v>2139</v>
      </c>
      <c r="E4" s="33">
        <v>33</v>
      </c>
      <c r="F4" s="43" t="s">
        <v>251</v>
      </c>
      <c r="G4" s="42">
        <v>1898</v>
      </c>
    </row>
    <row r="5" spans="1:7" ht="15">
      <c r="A5" s="33">
        <v>3</v>
      </c>
      <c r="B5" s="43" t="s">
        <v>281</v>
      </c>
      <c r="C5" s="42">
        <v>1318</v>
      </c>
      <c r="E5" s="33">
        <v>34</v>
      </c>
      <c r="F5" s="43" t="s">
        <v>250</v>
      </c>
      <c r="G5" s="42">
        <v>2716</v>
      </c>
    </row>
    <row r="6" spans="1:7" ht="15">
      <c r="A6" s="33">
        <v>4</v>
      </c>
      <c r="B6" s="43" t="s">
        <v>280</v>
      </c>
      <c r="C6" s="42">
        <v>1946</v>
      </c>
      <c r="E6" s="33">
        <v>35</v>
      </c>
      <c r="F6" s="43" t="s">
        <v>249</v>
      </c>
      <c r="G6" s="42">
        <v>1699</v>
      </c>
    </row>
    <row r="7" spans="1:7" ht="15">
      <c r="A7" s="33">
        <v>5</v>
      </c>
      <c r="B7" s="43" t="s">
        <v>279</v>
      </c>
      <c r="C7" s="42">
        <v>3558</v>
      </c>
      <c r="E7" s="33">
        <v>36</v>
      </c>
      <c r="F7" s="43" t="s">
        <v>248</v>
      </c>
      <c r="G7" s="42">
        <v>2803</v>
      </c>
    </row>
    <row r="8" spans="1:7" ht="15">
      <c r="A8" s="33">
        <v>6</v>
      </c>
      <c r="B8" s="43" t="s">
        <v>278</v>
      </c>
      <c r="C8" s="42">
        <v>1533</v>
      </c>
      <c r="E8" s="33">
        <v>37</v>
      </c>
      <c r="F8" s="43" t="s">
        <v>247</v>
      </c>
      <c r="G8" s="42">
        <v>3326</v>
      </c>
    </row>
    <row r="9" spans="1:7" ht="15">
      <c r="A9" s="33">
        <v>7</v>
      </c>
      <c r="B9" s="43" t="s">
        <v>277</v>
      </c>
      <c r="C9" s="42">
        <v>1870</v>
      </c>
      <c r="E9" s="33">
        <v>38</v>
      </c>
      <c r="F9" s="43" t="s">
        <v>246</v>
      </c>
      <c r="G9" s="42">
        <v>2705</v>
      </c>
    </row>
    <row r="10" spans="1:7" ht="15">
      <c r="A10" s="33">
        <v>8</v>
      </c>
      <c r="B10" s="43" t="s">
        <v>276</v>
      </c>
      <c r="C10" s="42">
        <v>3198</v>
      </c>
      <c r="E10" s="33">
        <v>39</v>
      </c>
      <c r="F10" s="43" t="s">
        <v>245</v>
      </c>
      <c r="G10" s="42">
        <v>1936</v>
      </c>
    </row>
    <row r="11" spans="1:7" ht="15">
      <c r="A11" s="33">
        <v>9</v>
      </c>
      <c r="B11" s="43" t="s">
        <v>275</v>
      </c>
      <c r="C11" s="42">
        <v>3278</v>
      </c>
      <c r="E11" s="33">
        <v>40</v>
      </c>
      <c r="F11" s="43" t="s">
        <v>244</v>
      </c>
      <c r="G11" s="42">
        <v>3552</v>
      </c>
    </row>
    <row r="12" spans="1:7" ht="15">
      <c r="A12" s="33">
        <v>10</v>
      </c>
      <c r="B12" s="43" t="s">
        <v>274</v>
      </c>
      <c r="C12" s="42">
        <v>1359</v>
      </c>
      <c r="E12" s="33">
        <v>41</v>
      </c>
      <c r="F12" s="43" t="s">
        <v>243</v>
      </c>
      <c r="G12" s="42">
        <v>1056</v>
      </c>
    </row>
    <row r="13" spans="1:7" ht="15">
      <c r="A13" s="33">
        <v>11</v>
      </c>
      <c r="B13" s="43" t="s">
        <v>273</v>
      </c>
      <c r="C13" s="42">
        <v>1257</v>
      </c>
      <c r="E13" s="33">
        <v>42</v>
      </c>
      <c r="F13" s="43" t="s">
        <v>242</v>
      </c>
      <c r="G13" s="42">
        <v>2476</v>
      </c>
    </row>
    <row r="14" spans="1:7" ht="15">
      <c r="A14" s="33">
        <v>12</v>
      </c>
      <c r="B14" s="43" t="s">
        <v>272</v>
      </c>
      <c r="C14" s="42">
        <v>1659</v>
      </c>
      <c r="E14" s="33">
        <v>43</v>
      </c>
      <c r="F14" s="43" t="s">
        <v>241</v>
      </c>
      <c r="G14" s="42">
        <v>2187</v>
      </c>
    </row>
    <row r="15" spans="1:7" ht="15">
      <c r="A15" s="33">
        <v>13</v>
      </c>
      <c r="B15" s="43" t="s">
        <v>271</v>
      </c>
      <c r="C15" s="42">
        <v>2326</v>
      </c>
      <c r="E15" s="33">
        <v>44</v>
      </c>
      <c r="F15" s="43" t="s">
        <v>240</v>
      </c>
      <c r="G15" s="42">
        <v>3190</v>
      </c>
    </row>
    <row r="16" spans="1:7" ht="15">
      <c r="A16" s="33">
        <v>14</v>
      </c>
      <c r="B16" s="43" t="s">
        <v>270</v>
      </c>
      <c r="C16" s="42">
        <v>2828</v>
      </c>
      <c r="E16" s="33">
        <v>45</v>
      </c>
      <c r="F16" s="43" t="s">
        <v>239</v>
      </c>
      <c r="G16" s="42">
        <v>2801</v>
      </c>
    </row>
    <row r="17" spans="1:7" ht="15">
      <c r="A17" s="33">
        <v>15</v>
      </c>
      <c r="B17" s="43" t="s">
        <v>269</v>
      </c>
      <c r="C17" s="42">
        <v>2730</v>
      </c>
      <c r="E17" s="33">
        <v>46</v>
      </c>
      <c r="F17" s="43" t="s">
        <v>238</v>
      </c>
      <c r="G17" s="42">
        <v>2848</v>
      </c>
    </row>
    <row r="18" spans="1:7" ht="15">
      <c r="A18" s="33">
        <v>16</v>
      </c>
      <c r="B18" s="43" t="s">
        <v>268</v>
      </c>
      <c r="C18" s="42">
        <v>550</v>
      </c>
      <c r="E18" s="33">
        <v>47</v>
      </c>
      <c r="F18" s="43" t="s">
        <v>237</v>
      </c>
      <c r="G18" s="42">
        <v>1296</v>
      </c>
    </row>
    <row r="19" spans="1:7" ht="15">
      <c r="A19" s="33">
        <v>17</v>
      </c>
      <c r="B19" s="43" t="s">
        <v>267</v>
      </c>
      <c r="C19" s="42">
        <v>1934</v>
      </c>
      <c r="E19" s="33">
        <v>48</v>
      </c>
      <c r="F19" s="43" t="s">
        <v>236</v>
      </c>
      <c r="G19" s="42">
        <v>3337</v>
      </c>
    </row>
    <row r="20" spans="1:7" ht="15">
      <c r="A20" s="33">
        <v>18</v>
      </c>
      <c r="B20" s="43" t="s">
        <v>266</v>
      </c>
      <c r="C20" s="42">
        <v>1546</v>
      </c>
      <c r="E20" s="33">
        <v>49</v>
      </c>
      <c r="F20" s="43" t="s">
        <v>235</v>
      </c>
      <c r="G20" s="42">
        <v>1584</v>
      </c>
    </row>
    <row r="21" spans="1:7" ht="15">
      <c r="A21" s="33">
        <v>19</v>
      </c>
      <c r="B21" s="43" t="s">
        <v>265</v>
      </c>
      <c r="C21" s="42">
        <v>1134</v>
      </c>
      <c r="E21" s="33">
        <v>50</v>
      </c>
      <c r="F21" s="43" t="s">
        <v>234</v>
      </c>
      <c r="G21" s="42">
        <v>1251</v>
      </c>
    </row>
    <row r="22" spans="1:7" ht="15">
      <c r="A22" s="33">
        <v>20</v>
      </c>
      <c r="B22" s="43" t="s">
        <v>264</v>
      </c>
      <c r="C22" s="42">
        <v>2993</v>
      </c>
      <c r="E22" s="33">
        <v>51</v>
      </c>
      <c r="F22" s="43" t="s">
        <v>233</v>
      </c>
      <c r="G22" s="42">
        <v>1409</v>
      </c>
    </row>
    <row r="23" spans="1:7" ht="15">
      <c r="A23" s="33">
        <v>21</v>
      </c>
      <c r="B23" s="43" t="s">
        <v>263</v>
      </c>
      <c r="C23" s="42">
        <v>2676</v>
      </c>
      <c r="E23" s="33">
        <v>52</v>
      </c>
      <c r="F23" s="43" t="s">
        <v>232</v>
      </c>
      <c r="G23" s="42">
        <v>3182</v>
      </c>
    </row>
    <row r="24" spans="1:7" ht="15">
      <c r="A24" s="33">
        <v>22</v>
      </c>
      <c r="B24" s="43" t="s">
        <v>262</v>
      </c>
      <c r="C24" s="42">
        <v>2050</v>
      </c>
      <c r="E24" s="33">
        <v>53</v>
      </c>
      <c r="F24" s="43" t="s">
        <v>231</v>
      </c>
      <c r="G24" s="42">
        <v>1527</v>
      </c>
    </row>
    <row r="25" spans="1:7" ht="15">
      <c r="A25" s="33">
        <v>23</v>
      </c>
      <c r="B25" s="43" t="s">
        <v>261</v>
      </c>
      <c r="C25" s="42">
        <v>2329</v>
      </c>
      <c r="E25" s="33">
        <v>54</v>
      </c>
      <c r="F25" s="43" t="s">
        <v>230</v>
      </c>
      <c r="G25" s="42">
        <v>2060</v>
      </c>
    </row>
    <row r="26" spans="1:7" ht="15">
      <c r="A26" s="33">
        <v>24</v>
      </c>
      <c r="B26" s="43" t="s">
        <v>260</v>
      </c>
      <c r="C26" s="42">
        <v>1410</v>
      </c>
      <c r="E26" s="33">
        <v>55</v>
      </c>
      <c r="F26" s="43" t="s">
        <v>229</v>
      </c>
      <c r="G26" s="42">
        <v>1464</v>
      </c>
    </row>
    <row r="27" spans="1:7" ht="15">
      <c r="A27" s="33">
        <v>25</v>
      </c>
      <c r="B27" s="43" t="s">
        <v>259</v>
      </c>
      <c r="C27" s="42">
        <v>1041</v>
      </c>
      <c r="E27" s="33">
        <v>56</v>
      </c>
      <c r="F27" s="43" t="s">
        <v>228</v>
      </c>
      <c r="G27" s="42">
        <v>1833</v>
      </c>
    </row>
    <row r="28" spans="1:7" ht="15">
      <c r="A28" s="33">
        <v>26</v>
      </c>
      <c r="B28" s="43" t="s">
        <v>258</v>
      </c>
      <c r="C28" s="42">
        <v>1053</v>
      </c>
      <c r="E28" s="33">
        <v>57</v>
      </c>
      <c r="F28" s="43" t="s">
        <v>227</v>
      </c>
      <c r="G28" s="42">
        <v>1620</v>
      </c>
    </row>
    <row r="29" spans="1:7" ht="15">
      <c r="A29" s="33">
        <v>27</v>
      </c>
      <c r="B29" s="43" t="s">
        <v>257</v>
      </c>
      <c r="C29" s="42">
        <v>1773</v>
      </c>
      <c r="E29" s="33">
        <v>58</v>
      </c>
      <c r="F29" s="43" t="s">
        <v>226</v>
      </c>
      <c r="G29" s="42">
        <v>1516</v>
      </c>
    </row>
    <row r="30" spans="1:7" ht="15">
      <c r="A30" s="33">
        <v>28</v>
      </c>
      <c r="B30" s="43" t="s">
        <v>256</v>
      </c>
      <c r="C30" s="42">
        <v>1305</v>
      </c>
      <c r="E30" s="33">
        <v>59</v>
      </c>
      <c r="F30" s="43" t="s">
        <v>225</v>
      </c>
      <c r="G30" s="42">
        <v>1173</v>
      </c>
    </row>
    <row r="31" spans="1:7" ht="15">
      <c r="A31" s="33">
        <v>29</v>
      </c>
      <c r="B31" s="43" t="s">
        <v>255</v>
      </c>
      <c r="C31" s="42">
        <v>1971</v>
      </c>
      <c r="E31" s="33">
        <v>60</v>
      </c>
      <c r="F31" s="43" t="s">
        <v>224</v>
      </c>
      <c r="G31" s="42">
        <v>1633</v>
      </c>
    </row>
    <row r="32" spans="1:7" ht="15">
      <c r="A32" s="33">
        <v>30</v>
      </c>
      <c r="B32" s="43" t="s">
        <v>254</v>
      </c>
      <c r="C32" s="42">
        <v>3772</v>
      </c>
      <c r="E32" s="33">
        <v>61</v>
      </c>
      <c r="F32" s="43" t="s">
        <v>223</v>
      </c>
      <c r="G32" s="42">
        <v>3280</v>
      </c>
    </row>
    <row r="33" spans="1:7" ht="15">
      <c r="A33" s="33">
        <v>31</v>
      </c>
      <c r="B33" s="43" t="s">
        <v>253</v>
      </c>
      <c r="C33" s="42">
        <v>2858</v>
      </c>
      <c r="E33" s="33"/>
      <c r="F33" s="41" t="s">
        <v>89</v>
      </c>
      <c r="G33" s="31">
        <f>SUM(C3:C63)</f>
        <v>63849</v>
      </c>
    </row>
  </sheetData>
  <sheetProtection/>
  <mergeCells count="1">
    <mergeCell ref="A1:B1"/>
  </mergeCells>
  <printOptions horizontalCentered="1"/>
  <pageMargins left="0.708661417322835" right="0.708661417322835" top="0.748031496062992" bottom="0.748031496062992" header="0.31496062992126" footer="0.31496062992126"/>
  <pageSetup firstPageNumber="105" useFirstPageNumber="1" orientation="portrait" paperSize="9"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
  <sheetViews>
    <sheetView zoomScalePageLayoutView="0" workbookViewId="0" topLeftCell="A1">
      <selection activeCell="G26" sqref="G26"/>
    </sheetView>
  </sheetViews>
  <sheetFormatPr defaultColWidth="9.140625" defaultRowHeight="15"/>
  <cols>
    <col min="2" max="2" width="16.421875" style="0" customWidth="1"/>
    <col min="3" max="3" width="27.00390625" style="45" customWidth="1"/>
  </cols>
  <sheetData>
    <row r="1" ht="15">
      <c r="C1" s="29" t="s">
        <v>295</v>
      </c>
    </row>
    <row r="2" spans="1:3" ht="15">
      <c r="A2" s="294" t="s">
        <v>294</v>
      </c>
      <c r="B2" s="294"/>
      <c r="C2" s="294"/>
    </row>
    <row r="3" spans="1:3" ht="15">
      <c r="A3" s="31" t="s">
        <v>293</v>
      </c>
      <c r="B3" s="31" t="s">
        <v>51</v>
      </c>
      <c r="C3" s="50" t="s">
        <v>292</v>
      </c>
    </row>
    <row r="4" spans="1:3" ht="15">
      <c r="A4" s="33" t="s">
        <v>291</v>
      </c>
      <c r="B4" s="33">
        <f>'Annexure I'!$G$28</f>
        <v>78485</v>
      </c>
      <c r="C4" s="50">
        <f>B4/51</f>
        <v>1538.921568627451</v>
      </c>
    </row>
    <row r="5" spans="1:3" ht="15">
      <c r="A5" s="33" t="s">
        <v>290</v>
      </c>
      <c r="B5" s="33">
        <f>'Annexure II'!$C$28</f>
        <v>40253</v>
      </c>
      <c r="C5" s="50">
        <f>B5/25</f>
        <v>1610.12</v>
      </c>
    </row>
    <row r="6" spans="1:3" ht="15">
      <c r="A6" s="33" t="s">
        <v>289</v>
      </c>
      <c r="B6" s="33">
        <f>'Annexure III'!$C$51</f>
        <v>122022</v>
      </c>
      <c r="C6" s="50">
        <f>B6/48</f>
        <v>2542.125</v>
      </c>
    </row>
    <row r="7" spans="1:3" ht="15">
      <c r="A7" s="33" t="s">
        <v>288</v>
      </c>
      <c r="B7" s="33">
        <f>'Annexure IV'!$G$33</f>
        <v>63849</v>
      </c>
      <c r="C7" s="50">
        <f>B7/61</f>
        <v>1046.704918032787</v>
      </c>
    </row>
    <row r="8" spans="1:3" ht="15">
      <c r="A8" s="33" t="s">
        <v>287</v>
      </c>
      <c r="B8" s="31">
        <f>SUM(B4:B7)</f>
        <v>304609</v>
      </c>
      <c r="C8" s="50">
        <f>B8/185</f>
        <v>1646.535135135135</v>
      </c>
    </row>
    <row r="13" spans="2:3" ht="15">
      <c r="B13" s="49"/>
      <c r="C13" s="48"/>
    </row>
    <row r="14" spans="2:3" ht="15">
      <c r="B14" s="46"/>
      <c r="C14" s="46"/>
    </row>
    <row r="15" spans="2:3" ht="15">
      <c r="B15" s="47"/>
      <c r="C15" s="46"/>
    </row>
    <row r="16" spans="2:3" ht="15">
      <c r="B16" s="47"/>
      <c r="C16" s="46"/>
    </row>
    <row r="17" spans="2:3" ht="15">
      <c r="B17" s="47"/>
      <c r="C17" s="46"/>
    </row>
  </sheetData>
  <sheetProtection/>
  <mergeCells count="1">
    <mergeCell ref="A2:C2"/>
  </mergeCells>
  <printOptions/>
  <pageMargins left="1.5" right="0.708661417322835" top="0.748031496062992" bottom="0.748031496062992" header="0.31496062992126" footer="0.31496062992126"/>
  <pageSetup firstPageNumber="106" useFirstPageNumber="1" horizontalDpi="600" verticalDpi="600"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G13"/>
  <sheetViews>
    <sheetView zoomScalePageLayoutView="0" workbookViewId="0" topLeftCell="A1">
      <selection activeCell="P7" sqref="P7"/>
    </sheetView>
  </sheetViews>
  <sheetFormatPr defaultColWidth="9.140625" defaultRowHeight="15"/>
  <cols>
    <col min="1" max="1" width="9.140625" style="51" customWidth="1"/>
    <col min="2" max="6" width="18.421875" style="51" customWidth="1"/>
    <col min="7" max="7" width="27.421875" style="51" customWidth="1"/>
    <col min="8" max="16384" width="9.140625" style="51" customWidth="1"/>
  </cols>
  <sheetData>
    <row r="1" spans="6:7" ht="15">
      <c r="F1" s="295" t="s">
        <v>333</v>
      </c>
      <c r="G1" s="295"/>
    </row>
    <row r="4" spans="1:7" ht="18.75">
      <c r="A4" s="296" t="s">
        <v>332</v>
      </c>
      <c r="B4" s="296"/>
      <c r="C4" s="296"/>
      <c r="D4" s="296"/>
      <c r="E4" s="296"/>
      <c r="F4" s="296"/>
      <c r="G4" s="296"/>
    </row>
    <row r="5" ht="15">
      <c r="A5" s="52"/>
    </row>
    <row r="6" spans="1:7" ht="60">
      <c r="A6" s="55" t="s">
        <v>38</v>
      </c>
      <c r="B6" s="55" t="s">
        <v>331</v>
      </c>
      <c r="C6" s="55" t="s">
        <v>330</v>
      </c>
      <c r="D6" s="55" t="s">
        <v>329</v>
      </c>
      <c r="E6" s="55" t="s">
        <v>328</v>
      </c>
      <c r="F6" s="55" t="s">
        <v>327</v>
      </c>
      <c r="G6" s="55" t="s">
        <v>326</v>
      </c>
    </row>
    <row r="7" spans="1:7" s="52" customFormat="1" ht="30">
      <c r="A7" s="55">
        <v>1</v>
      </c>
      <c r="B7" s="53" t="s">
        <v>325</v>
      </c>
      <c r="C7" s="53" t="s">
        <v>324</v>
      </c>
      <c r="D7" s="53" t="s">
        <v>323</v>
      </c>
      <c r="E7" s="53" t="s">
        <v>322</v>
      </c>
      <c r="F7" s="53" t="s">
        <v>321</v>
      </c>
      <c r="G7" s="53" t="s">
        <v>320</v>
      </c>
    </row>
    <row r="8" spans="1:7" s="52" customFormat="1" ht="30">
      <c r="A8" s="55">
        <v>2</v>
      </c>
      <c r="B8" s="53" t="s">
        <v>319</v>
      </c>
      <c r="C8" s="53" t="s">
        <v>318</v>
      </c>
      <c r="D8" s="53" t="s">
        <v>317</v>
      </c>
      <c r="E8" s="53" t="s">
        <v>316</v>
      </c>
      <c r="F8" s="53" t="s">
        <v>315</v>
      </c>
      <c r="G8" s="53" t="s">
        <v>314</v>
      </c>
    </row>
    <row r="9" spans="1:7" s="52" customFormat="1" ht="30">
      <c r="A9" s="55">
        <v>3</v>
      </c>
      <c r="B9" s="53" t="s">
        <v>313</v>
      </c>
      <c r="C9" s="53" t="s">
        <v>312</v>
      </c>
      <c r="D9" s="53" t="s">
        <v>311</v>
      </c>
      <c r="E9" s="53" t="s">
        <v>311</v>
      </c>
      <c r="F9" s="53" t="s">
        <v>310</v>
      </c>
      <c r="G9" s="53" t="s">
        <v>309</v>
      </c>
    </row>
    <row r="10" spans="1:7" s="52" customFormat="1" ht="45">
      <c r="A10" s="55">
        <v>4</v>
      </c>
      <c r="B10" s="53" t="s">
        <v>308</v>
      </c>
      <c r="C10" s="53" t="s">
        <v>307</v>
      </c>
      <c r="D10" s="53" t="s">
        <v>306</v>
      </c>
      <c r="E10" s="53" t="s">
        <v>305</v>
      </c>
      <c r="F10" s="53" t="s">
        <v>304</v>
      </c>
      <c r="G10" s="53" t="s">
        <v>303</v>
      </c>
    </row>
    <row r="11" spans="1:7" s="52" customFormat="1" ht="30">
      <c r="A11" s="55">
        <v>5</v>
      </c>
      <c r="B11" s="53" t="s">
        <v>302</v>
      </c>
      <c r="C11" s="53" t="s">
        <v>301</v>
      </c>
      <c r="D11" s="53" t="s">
        <v>300</v>
      </c>
      <c r="E11" s="54" t="s">
        <v>299</v>
      </c>
      <c r="F11" s="53" t="s">
        <v>298</v>
      </c>
      <c r="G11" s="53" t="s">
        <v>297</v>
      </c>
    </row>
    <row r="13" spans="1:7" ht="36.75" customHeight="1">
      <c r="A13" s="297" t="s">
        <v>296</v>
      </c>
      <c r="B13" s="297"/>
      <c r="C13" s="297"/>
      <c r="D13" s="297"/>
      <c r="E13" s="297"/>
      <c r="F13" s="297"/>
      <c r="G13" s="297"/>
    </row>
  </sheetData>
  <sheetProtection/>
  <mergeCells count="3">
    <mergeCell ref="F1:G1"/>
    <mergeCell ref="A4:G4"/>
    <mergeCell ref="A13:G13"/>
  </mergeCells>
  <printOptions horizontalCentered="1"/>
  <pageMargins left="0.551181102362205" right="0.590551181102362" top="0.669291338582677" bottom="0.866141732283465" header="0.511811023622047" footer="0.511811023622047"/>
  <pageSetup firstPageNumber="107" useFirstPageNumber="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2018-09-07T06:58:39Z</cp:lastPrinted>
  <dcterms:created xsi:type="dcterms:W3CDTF">2018-06-11T06:15:43Z</dcterms:created>
  <dcterms:modified xsi:type="dcterms:W3CDTF">2018-09-07T06:59:04Z</dcterms:modified>
  <cp:category/>
  <cp:version/>
  <cp:contentType/>
  <cp:contentStatus/>
</cp:coreProperties>
</file>